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2120" yWindow="800" windowWidth="21980" windowHeight="15360" tabRatio="500"/>
  </bookViews>
  <sheets>
    <sheet name="Денежный поток" sheetId="10" r:id="rId1"/>
    <sheet name="Бизнес-план" sheetId="7" r:id="rId2"/>
    <sheet name="САРЕХ" sheetId="8" r:id="rId3"/>
    <sheet name="Персонал" sheetId="5" r:id="rId4"/>
    <sheet name="Территория" sheetId="6" r:id="rId5"/>
    <sheet name="Допущения" sheetId="9" r:id="rId6"/>
  </sheets>
  <definedNames>
    <definedName name="_xlnm.Print_Area" localSheetId="1">'Бизнес-план'!$A$2:$AN$85</definedName>
    <definedName name="_xlnm.Print_Area" localSheetId="4">Территория!$A$1:$L$39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8" l="1"/>
  <c r="E5" i="8"/>
  <c r="G6" i="8"/>
  <c r="E6" i="8"/>
  <c r="G7" i="8"/>
  <c r="E7" i="8"/>
  <c r="G8" i="8"/>
  <c r="E8" i="8"/>
  <c r="G9" i="8"/>
  <c r="E9" i="8"/>
  <c r="G10" i="8"/>
  <c r="E10" i="8"/>
  <c r="G11" i="8"/>
  <c r="E11" i="8"/>
  <c r="G12" i="8"/>
  <c r="E12" i="8"/>
  <c r="G13" i="8"/>
  <c r="E13" i="8"/>
  <c r="G14" i="8"/>
  <c r="E14" i="8"/>
  <c r="G15" i="8"/>
  <c r="E15" i="8"/>
  <c r="G16" i="8"/>
  <c r="E16" i="8"/>
  <c r="G17" i="8"/>
  <c r="E17" i="8"/>
  <c r="G18" i="8"/>
  <c r="E18" i="8"/>
  <c r="G19" i="8"/>
  <c r="E19" i="8"/>
  <c r="G20" i="8"/>
  <c r="E20" i="8"/>
  <c r="G21" i="8"/>
  <c r="E21" i="8"/>
  <c r="E4" i="8"/>
  <c r="G23" i="8"/>
  <c r="E23" i="8"/>
  <c r="G24" i="8"/>
  <c r="F24" i="8"/>
  <c r="E24" i="8"/>
  <c r="G25" i="8"/>
  <c r="F25" i="8"/>
  <c r="E25" i="8"/>
  <c r="G26" i="8"/>
  <c r="E26" i="8"/>
  <c r="G27" i="8"/>
  <c r="E27" i="8"/>
  <c r="G28" i="8"/>
  <c r="E28" i="8"/>
  <c r="G29" i="8"/>
  <c r="E29" i="8"/>
  <c r="F30" i="8"/>
  <c r="E30" i="8"/>
  <c r="E31" i="8"/>
  <c r="G32" i="8"/>
  <c r="E32" i="8"/>
  <c r="E33" i="8"/>
  <c r="E22" i="8"/>
  <c r="E37" i="8"/>
  <c r="E38" i="8"/>
  <c r="G22" i="8"/>
  <c r="G4" i="8"/>
  <c r="E41" i="8"/>
  <c r="E12" i="10"/>
  <c r="F47" i="7"/>
  <c r="G47" i="7"/>
  <c r="H47" i="7"/>
  <c r="I47" i="7"/>
  <c r="J47" i="7"/>
  <c r="F4" i="7"/>
  <c r="E4" i="7"/>
  <c r="F5" i="7"/>
  <c r="F6" i="7"/>
  <c r="F50" i="7"/>
  <c r="G4" i="7"/>
  <c r="G5" i="7"/>
  <c r="G6" i="7"/>
  <c r="G50" i="7"/>
  <c r="H4" i="7"/>
  <c r="H5" i="7"/>
  <c r="H6" i="7"/>
  <c r="H50" i="7"/>
  <c r="I4" i="7"/>
  <c r="I5" i="7"/>
  <c r="I6" i="7"/>
  <c r="I50" i="7"/>
  <c r="J50" i="7"/>
  <c r="F51" i="7"/>
  <c r="G51" i="7"/>
  <c r="H51" i="7"/>
  <c r="I51" i="7"/>
  <c r="J51" i="7"/>
  <c r="F45" i="7"/>
  <c r="F46" i="7"/>
  <c r="G45" i="7"/>
  <c r="G46" i="7"/>
  <c r="H45" i="7"/>
  <c r="H46" i="7"/>
  <c r="I45" i="7"/>
  <c r="I46" i="7"/>
  <c r="J46" i="7"/>
  <c r="J48" i="7"/>
  <c r="F49" i="7"/>
  <c r="G49" i="7"/>
  <c r="H49" i="7"/>
  <c r="I49" i="7"/>
  <c r="J49" i="7"/>
  <c r="F16" i="7"/>
  <c r="E16" i="7"/>
  <c r="F17" i="7"/>
  <c r="F18" i="7"/>
  <c r="F52" i="7"/>
  <c r="G16" i="7"/>
  <c r="G17" i="7"/>
  <c r="G18" i="7"/>
  <c r="G52" i="7"/>
  <c r="H16" i="7"/>
  <c r="H17" i="7"/>
  <c r="H18" i="7"/>
  <c r="H52" i="7"/>
  <c r="I16" i="7"/>
  <c r="I17" i="7"/>
  <c r="I18" i="7"/>
  <c r="I52" i="7"/>
  <c r="J52" i="7"/>
  <c r="F28" i="7"/>
  <c r="E28" i="7"/>
  <c r="F29" i="7"/>
  <c r="F30" i="7"/>
  <c r="F53" i="7"/>
  <c r="G28" i="7"/>
  <c r="G29" i="7"/>
  <c r="G30" i="7"/>
  <c r="G53" i="7"/>
  <c r="H28" i="7"/>
  <c r="H29" i="7"/>
  <c r="H30" i="7"/>
  <c r="H53" i="7"/>
  <c r="I28" i="7"/>
  <c r="I29" i="7"/>
  <c r="I30" i="7"/>
  <c r="I53" i="7"/>
  <c r="J53" i="7"/>
  <c r="F21" i="7"/>
  <c r="F54" i="7"/>
  <c r="G21" i="7"/>
  <c r="G54" i="7"/>
  <c r="H21" i="7"/>
  <c r="H54" i="7"/>
  <c r="I21" i="7"/>
  <c r="I54" i="7"/>
  <c r="J54" i="7"/>
  <c r="J56" i="7"/>
  <c r="J57" i="7"/>
  <c r="J58" i="7"/>
  <c r="J60" i="7"/>
  <c r="E42" i="8"/>
  <c r="C16" i="6"/>
  <c r="C15" i="6"/>
  <c r="F78" i="7"/>
  <c r="G78" i="7"/>
  <c r="H78" i="7"/>
  <c r="I78" i="7"/>
  <c r="J78" i="7"/>
  <c r="F9" i="7"/>
  <c r="F33" i="7"/>
  <c r="F41" i="7"/>
  <c r="F73" i="7"/>
  <c r="G9" i="7"/>
  <c r="G33" i="7"/>
  <c r="G41" i="7"/>
  <c r="G73" i="7"/>
  <c r="H9" i="7"/>
  <c r="H33" i="7"/>
  <c r="H41" i="7"/>
  <c r="H73" i="7"/>
  <c r="I9" i="7"/>
  <c r="I33" i="7"/>
  <c r="I41" i="7"/>
  <c r="I73" i="7"/>
  <c r="J73" i="7"/>
  <c r="F79" i="7"/>
  <c r="G79" i="7"/>
  <c r="H79" i="7"/>
  <c r="I79" i="7"/>
  <c r="J79" i="7"/>
  <c r="J65" i="7"/>
  <c r="J66" i="7"/>
  <c r="J67" i="7"/>
  <c r="J68" i="7"/>
  <c r="J69" i="7"/>
  <c r="J70" i="7"/>
  <c r="J71" i="7"/>
  <c r="J72" i="7"/>
  <c r="J74" i="7"/>
  <c r="J75" i="7"/>
  <c r="J76" i="7"/>
  <c r="J77" i="7"/>
  <c r="J80" i="7"/>
  <c r="J82" i="7"/>
  <c r="J9" i="7"/>
  <c r="J33" i="7"/>
  <c r="J21" i="7"/>
  <c r="J41" i="7"/>
  <c r="J84" i="7"/>
  <c r="E6" i="10"/>
  <c r="E8" i="10"/>
  <c r="E10" i="10"/>
  <c r="E14" i="10"/>
  <c r="E21" i="10"/>
  <c r="E24" i="10"/>
  <c r="K47" i="7"/>
  <c r="L47" i="7"/>
  <c r="M47" i="7"/>
  <c r="N47" i="7"/>
  <c r="O47" i="7"/>
  <c r="K4" i="7"/>
  <c r="J8" i="7"/>
  <c r="J4" i="7"/>
  <c r="K5" i="7"/>
  <c r="K6" i="7"/>
  <c r="K50" i="7"/>
  <c r="L4" i="7"/>
  <c r="L5" i="7"/>
  <c r="L6" i="7"/>
  <c r="L50" i="7"/>
  <c r="M4" i="7"/>
  <c r="M5" i="7"/>
  <c r="M6" i="7"/>
  <c r="M50" i="7"/>
  <c r="N4" i="7"/>
  <c r="N5" i="7"/>
  <c r="N6" i="7"/>
  <c r="N50" i="7"/>
  <c r="O50" i="7"/>
  <c r="K51" i="7"/>
  <c r="L51" i="7"/>
  <c r="M51" i="7"/>
  <c r="N51" i="7"/>
  <c r="O51" i="7"/>
  <c r="K45" i="7"/>
  <c r="K46" i="7"/>
  <c r="L45" i="7"/>
  <c r="L46" i="7"/>
  <c r="M45" i="7"/>
  <c r="M46" i="7"/>
  <c r="N45" i="7"/>
  <c r="N46" i="7"/>
  <c r="O46" i="7"/>
  <c r="O48" i="7"/>
  <c r="K49" i="7"/>
  <c r="L49" i="7"/>
  <c r="N49" i="7"/>
  <c r="O49" i="7"/>
  <c r="K16" i="7"/>
  <c r="J20" i="7"/>
  <c r="J16" i="7"/>
  <c r="K17" i="7"/>
  <c r="K18" i="7"/>
  <c r="K52" i="7"/>
  <c r="L16" i="7"/>
  <c r="L17" i="7"/>
  <c r="L18" i="7"/>
  <c r="L52" i="7"/>
  <c r="M16" i="7"/>
  <c r="M17" i="7"/>
  <c r="M18" i="7"/>
  <c r="M52" i="7"/>
  <c r="N16" i="7"/>
  <c r="N17" i="7"/>
  <c r="N18" i="7"/>
  <c r="N52" i="7"/>
  <c r="O52" i="7"/>
  <c r="K28" i="7"/>
  <c r="J32" i="7"/>
  <c r="J28" i="7"/>
  <c r="K29" i="7"/>
  <c r="K30" i="7"/>
  <c r="K53" i="7"/>
  <c r="L28" i="7"/>
  <c r="L29" i="7"/>
  <c r="L30" i="7"/>
  <c r="L53" i="7"/>
  <c r="M28" i="7"/>
  <c r="M29" i="7"/>
  <c r="M30" i="7"/>
  <c r="M53" i="7"/>
  <c r="N28" i="7"/>
  <c r="N29" i="7"/>
  <c r="N30" i="7"/>
  <c r="N53" i="7"/>
  <c r="O53" i="7"/>
  <c r="K21" i="7"/>
  <c r="K54" i="7"/>
  <c r="L21" i="7"/>
  <c r="L54" i="7"/>
  <c r="M21" i="7"/>
  <c r="M54" i="7"/>
  <c r="N21" i="7"/>
  <c r="N54" i="7"/>
  <c r="O54" i="7"/>
  <c r="O56" i="7"/>
  <c r="O57" i="7"/>
  <c r="O58" i="7"/>
  <c r="O60" i="7"/>
  <c r="K78" i="7"/>
  <c r="L78" i="7"/>
  <c r="M78" i="7"/>
  <c r="N78" i="7"/>
  <c r="O78" i="7"/>
  <c r="O65" i="7"/>
  <c r="O66" i="7"/>
  <c r="K67" i="7"/>
  <c r="L67" i="7"/>
  <c r="M67" i="7"/>
  <c r="N67" i="7"/>
  <c r="O67" i="7"/>
  <c r="K68" i="7"/>
  <c r="L68" i="7"/>
  <c r="M68" i="7"/>
  <c r="N68" i="7"/>
  <c r="O68" i="7"/>
  <c r="K69" i="7"/>
  <c r="L69" i="7"/>
  <c r="M69" i="7"/>
  <c r="N69" i="7"/>
  <c r="O69" i="7"/>
  <c r="K70" i="7"/>
  <c r="L70" i="7"/>
  <c r="M70" i="7"/>
  <c r="N70" i="7"/>
  <c r="O70" i="7"/>
  <c r="O71" i="7"/>
  <c r="K72" i="7"/>
  <c r="L72" i="7"/>
  <c r="M72" i="7"/>
  <c r="N72" i="7"/>
  <c r="O72" i="7"/>
  <c r="K33" i="7"/>
  <c r="K9" i="7"/>
  <c r="K41" i="7"/>
  <c r="K73" i="7"/>
  <c r="L33" i="7"/>
  <c r="L9" i="7"/>
  <c r="L41" i="7"/>
  <c r="L73" i="7"/>
  <c r="M33" i="7"/>
  <c r="M9" i="7"/>
  <c r="M41" i="7"/>
  <c r="M73" i="7"/>
  <c r="N33" i="7"/>
  <c r="N9" i="7"/>
  <c r="N41" i="7"/>
  <c r="N73" i="7"/>
  <c r="O73" i="7"/>
  <c r="K74" i="7"/>
  <c r="L74" i="7"/>
  <c r="M74" i="7"/>
  <c r="N74" i="7"/>
  <c r="O74" i="7"/>
  <c r="K75" i="7"/>
  <c r="L75" i="7"/>
  <c r="M75" i="7"/>
  <c r="N75" i="7"/>
  <c r="O75" i="7"/>
  <c r="O76" i="7"/>
  <c r="O77" i="7"/>
  <c r="K79" i="7"/>
  <c r="L79" i="7"/>
  <c r="M79" i="7"/>
  <c r="N79" i="7"/>
  <c r="O79" i="7"/>
  <c r="O80" i="7"/>
  <c r="O82" i="7"/>
  <c r="O33" i="7"/>
  <c r="O21" i="7"/>
  <c r="O9" i="7"/>
  <c r="O41" i="7"/>
  <c r="O84" i="7"/>
  <c r="F6" i="10"/>
  <c r="F8" i="10"/>
  <c r="F10" i="10"/>
  <c r="F4" i="10"/>
  <c r="F12" i="10"/>
  <c r="F14" i="10"/>
  <c r="F21" i="10"/>
  <c r="F24" i="10"/>
  <c r="P47" i="7"/>
  <c r="Q47" i="7"/>
  <c r="R47" i="7"/>
  <c r="S47" i="7"/>
  <c r="T47" i="7"/>
  <c r="P4" i="7"/>
  <c r="O8" i="7"/>
  <c r="O4" i="7"/>
  <c r="P5" i="7"/>
  <c r="P6" i="7"/>
  <c r="P50" i="7"/>
  <c r="Q4" i="7"/>
  <c r="Q5" i="7"/>
  <c r="Q6" i="7"/>
  <c r="Q50" i="7"/>
  <c r="R4" i="7"/>
  <c r="R5" i="7"/>
  <c r="R6" i="7"/>
  <c r="R50" i="7"/>
  <c r="S4" i="7"/>
  <c r="S5" i="7"/>
  <c r="S6" i="7"/>
  <c r="S50" i="7"/>
  <c r="T50" i="7"/>
  <c r="P51" i="7"/>
  <c r="Q51" i="7"/>
  <c r="R51" i="7"/>
  <c r="S51" i="7"/>
  <c r="T51" i="7"/>
  <c r="P45" i="7"/>
  <c r="P46" i="7"/>
  <c r="Q45" i="7"/>
  <c r="Q46" i="7"/>
  <c r="R45" i="7"/>
  <c r="R46" i="7"/>
  <c r="S45" i="7"/>
  <c r="S46" i="7"/>
  <c r="T46" i="7"/>
  <c r="P48" i="7"/>
  <c r="Q48" i="7"/>
  <c r="R48" i="7"/>
  <c r="S48" i="7"/>
  <c r="T48" i="7"/>
  <c r="P49" i="7"/>
  <c r="Q49" i="7"/>
  <c r="R49" i="7"/>
  <c r="S49" i="7"/>
  <c r="T49" i="7"/>
  <c r="P16" i="7"/>
  <c r="O20" i="7"/>
  <c r="O16" i="7"/>
  <c r="P17" i="7"/>
  <c r="P18" i="7"/>
  <c r="P52" i="7"/>
  <c r="Q16" i="7"/>
  <c r="Q17" i="7"/>
  <c r="Q18" i="7"/>
  <c r="Q52" i="7"/>
  <c r="R16" i="7"/>
  <c r="R17" i="7"/>
  <c r="R18" i="7"/>
  <c r="R52" i="7"/>
  <c r="S16" i="7"/>
  <c r="S17" i="7"/>
  <c r="S18" i="7"/>
  <c r="S52" i="7"/>
  <c r="T52" i="7"/>
  <c r="P28" i="7"/>
  <c r="O32" i="7"/>
  <c r="O28" i="7"/>
  <c r="P29" i="7"/>
  <c r="P30" i="7"/>
  <c r="P53" i="7"/>
  <c r="Q28" i="7"/>
  <c r="Q29" i="7"/>
  <c r="Q30" i="7"/>
  <c r="Q53" i="7"/>
  <c r="R28" i="7"/>
  <c r="R29" i="7"/>
  <c r="R30" i="7"/>
  <c r="R53" i="7"/>
  <c r="S28" i="7"/>
  <c r="S29" i="7"/>
  <c r="S30" i="7"/>
  <c r="S53" i="7"/>
  <c r="T53" i="7"/>
  <c r="P21" i="7"/>
  <c r="P54" i="7"/>
  <c r="Q21" i="7"/>
  <c r="Q54" i="7"/>
  <c r="R21" i="7"/>
  <c r="R54" i="7"/>
  <c r="S21" i="7"/>
  <c r="S54" i="7"/>
  <c r="T54" i="7"/>
  <c r="P56" i="7"/>
  <c r="Q56" i="7"/>
  <c r="R56" i="7"/>
  <c r="S56" i="7"/>
  <c r="T56" i="7"/>
  <c r="P57" i="7"/>
  <c r="Q57" i="7"/>
  <c r="R57" i="7"/>
  <c r="S57" i="7"/>
  <c r="T57" i="7"/>
  <c r="P58" i="7"/>
  <c r="Q58" i="7"/>
  <c r="R58" i="7"/>
  <c r="S58" i="7"/>
  <c r="T58" i="7"/>
  <c r="T60" i="7"/>
  <c r="P78" i="7"/>
  <c r="Q78" i="7"/>
  <c r="R78" i="7"/>
  <c r="S78" i="7"/>
  <c r="T78" i="7"/>
  <c r="P65" i="7"/>
  <c r="Q65" i="7"/>
  <c r="R65" i="7"/>
  <c r="S65" i="7"/>
  <c r="T65" i="7"/>
  <c r="P66" i="7"/>
  <c r="Q66" i="7"/>
  <c r="R66" i="7"/>
  <c r="S66" i="7"/>
  <c r="T66" i="7"/>
  <c r="P67" i="7"/>
  <c r="Q67" i="7"/>
  <c r="R67" i="7"/>
  <c r="S67" i="7"/>
  <c r="T67" i="7"/>
  <c r="P68" i="7"/>
  <c r="Q68" i="7"/>
  <c r="R68" i="7"/>
  <c r="S68" i="7"/>
  <c r="T68" i="7"/>
  <c r="P69" i="7"/>
  <c r="Q69" i="7"/>
  <c r="R69" i="7"/>
  <c r="S69" i="7"/>
  <c r="T69" i="7"/>
  <c r="P70" i="7"/>
  <c r="Q70" i="7"/>
  <c r="R70" i="7"/>
  <c r="S70" i="7"/>
  <c r="T70" i="7"/>
  <c r="T71" i="7"/>
  <c r="P72" i="7"/>
  <c r="Q72" i="7"/>
  <c r="R72" i="7"/>
  <c r="S72" i="7"/>
  <c r="T72" i="7"/>
  <c r="P33" i="7"/>
  <c r="P9" i="7"/>
  <c r="P41" i="7"/>
  <c r="P73" i="7"/>
  <c r="Q33" i="7"/>
  <c r="Q9" i="7"/>
  <c r="Q41" i="7"/>
  <c r="Q73" i="7"/>
  <c r="R33" i="7"/>
  <c r="R9" i="7"/>
  <c r="R41" i="7"/>
  <c r="R73" i="7"/>
  <c r="S33" i="7"/>
  <c r="S9" i="7"/>
  <c r="S41" i="7"/>
  <c r="S73" i="7"/>
  <c r="T73" i="7"/>
  <c r="P75" i="7"/>
  <c r="Q75" i="7"/>
  <c r="R75" i="7"/>
  <c r="S75" i="7"/>
  <c r="T75" i="7"/>
  <c r="T77" i="7"/>
  <c r="P79" i="7"/>
  <c r="Q79" i="7"/>
  <c r="R79" i="7"/>
  <c r="S79" i="7"/>
  <c r="T79" i="7"/>
  <c r="P80" i="7"/>
  <c r="Q80" i="7"/>
  <c r="R80" i="7"/>
  <c r="S80" i="7"/>
  <c r="T80" i="7"/>
  <c r="T82" i="7"/>
  <c r="T33" i="7"/>
  <c r="T21" i="7"/>
  <c r="T9" i="7"/>
  <c r="T41" i="7"/>
  <c r="T84" i="7"/>
  <c r="G6" i="10"/>
  <c r="G8" i="10"/>
  <c r="G10" i="10"/>
  <c r="G4" i="10"/>
  <c r="G12" i="10"/>
  <c r="G14" i="10"/>
  <c r="G21" i="10"/>
  <c r="G24" i="10"/>
  <c r="U47" i="7"/>
  <c r="V47" i="7"/>
  <c r="W47" i="7"/>
  <c r="X47" i="7"/>
  <c r="Y47" i="7"/>
  <c r="U4" i="7"/>
  <c r="T8" i="7"/>
  <c r="T4" i="7"/>
  <c r="U5" i="7"/>
  <c r="U6" i="7"/>
  <c r="U50" i="7"/>
  <c r="V4" i="7"/>
  <c r="V5" i="7"/>
  <c r="V6" i="7"/>
  <c r="V50" i="7"/>
  <c r="W4" i="7"/>
  <c r="W5" i="7"/>
  <c r="W6" i="7"/>
  <c r="W50" i="7"/>
  <c r="X4" i="7"/>
  <c r="X5" i="7"/>
  <c r="X6" i="7"/>
  <c r="X50" i="7"/>
  <c r="Y50" i="7"/>
  <c r="U51" i="7"/>
  <c r="V51" i="7"/>
  <c r="W51" i="7"/>
  <c r="X51" i="7"/>
  <c r="Y51" i="7"/>
  <c r="U45" i="7"/>
  <c r="U46" i="7"/>
  <c r="V45" i="7"/>
  <c r="V46" i="7"/>
  <c r="W45" i="7"/>
  <c r="W46" i="7"/>
  <c r="X45" i="7"/>
  <c r="X46" i="7"/>
  <c r="Y46" i="7"/>
  <c r="U48" i="7"/>
  <c r="V48" i="7"/>
  <c r="W48" i="7"/>
  <c r="X48" i="7"/>
  <c r="Y48" i="7"/>
  <c r="U49" i="7"/>
  <c r="V49" i="7"/>
  <c r="W49" i="7"/>
  <c r="X49" i="7"/>
  <c r="Y49" i="7"/>
  <c r="U16" i="7"/>
  <c r="T20" i="7"/>
  <c r="T16" i="7"/>
  <c r="U17" i="7"/>
  <c r="U18" i="7"/>
  <c r="U52" i="7"/>
  <c r="V16" i="7"/>
  <c r="V17" i="7"/>
  <c r="V18" i="7"/>
  <c r="V52" i="7"/>
  <c r="W16" i="7"/>
  <c r="W17" i="7"/>
  <c r="W18" i="7"/>
  <c r="W52" i="7"/>
  <c r="X16" i="7"/>
  <c r="X17" i="7"/>
  <c r="X18" i="7"/>
  <c r="X52" i="7"/>
  <c r="Y52" i="7"/>
  <c r="U28" i="7"/>
  <c r="T32" i="7"/>
  <c r="T28" i="7"/>
  <c r="U29" i="7"/>
  <c r="U30" i="7"/>
  <c r="U53" i="7"/>
  <c r="V28" i="7"/>
  <c r="V29" i="7"/>
  <c r="V30" i="7"/>
  <c r="V53" i="7"/>
  <c r="W28" i="7"/>
  <c r="W29" i="7"/>
  <c r="W30" i="7"/>
  <c r="W53" i="7"/>
  <c r="X28" i="7"/>
  <c r="X29" i="7"/>
  <c r="X30" i="7"/>
  <c r="X53" i="7"/>
  <c r="Y53" i="7"/>
  <c r="U21" i="7"/>
  <c r="U54" i="7"/>
  <c r="V21" i="7"/>
  <c r="V54" i="7"/>
  <c r="W21" i="7"/>
  <c r="W54" i="7"/>
  <c r="X21" i="7"/>
  <c r="X54" i="7"/>
  <c r="Y54" i="7"/>
  <c r="U56" i="7"/>
  <c r="V56" i="7"/>
  <c r="W56" i="7"/>
  <c r="X56" i="7"/>
  <c r="Y56" i="7"/>
  <c r="U57" i="7"/>
  <c r="V57" i="7"/>
  <c r="W57" i="7"/>
  <c r="X57" i="7"/>
  <c r="Y57" i="7"/>
  <c r="U58" i="7"/>
  <c r="V58" i="7"/>
  <c r="W58" i="7"/>
  <c r="X58" i="7"/>
  <c r="Y58" i="7"/>
  <c r="Y60" i="7"/>
  <c r="U78" i="7"/>
  <c r="V78" i="7"/>
  <c r="W78" i="7"/>
  <c r="X78" i="7"/>
  <c r="Y78" i="7"/>
  <c r="U65" i="7"/>
  <c r="V65" i="7"/>
  <c r="W65" i="7"/>
  <c r="X65" i="7"/>
  <c r="Y65" i="7"/>
  <c r="U66" i="7"/>
  <c r="V66" i="7"/>
  <c r="W66" i="7"/>
  <c r="X66" i="7"/>
  <c r="Y66" i="7"/>
  <c r="U67" i="7"/>
  <c r="V67" i="7"/>
  <c r="W67" i="7"/>
  <c r="X67" i="7"/>
  <c r="Y67" i="7"/>
  <c r="U68" i="7"/>
  <c r="V68" i="7"/>
  <c r="W68" i="7"/>
  <c r="X68" i="7"/>
  <c r="Y68" i="7"/>
  <c r="U69" i="7"/>
  <c r="V69" i="7"/>
  <c r="W69" i="7"/>
  <c r="X69" i="7"/>
  <c r="Y69" i="7"/>
  <c r="U70" i="7"/>
  <c r="V70" i="7"/>
  <c r="W70" i="7"/>
  <c r="X70" i="7"/>
  <c r="Y70" i="7"/>
  <c r="Y71" i="7"/>
  <c r="U72" i="7"/>
  <c r="V72" i="7"/>
  <c r="W72" i="7"/>
  <c r="X72" i="7"/>
  <c r="Y72" i="7"/>
  <c r="U33" i="7"/>
  <c r="U9" i="7"/>
  <c r="U41" i="7"/>
  <c r="U73" i="7"/>
  <c r="V33" i="7"/>
  <c r="V9" i="7"/>
  <c r="V41" i="7"/>
  <c r="V73" i="7"/>
  <c r="W33" i="7"/>
  <c r="W9" i="7"/>
  <c r="W41" i="7"/>
  <c r="W73" i="7"/>
  <c r="X33" i="7"/>
  <c r="X9" i="7"/>
  <c r="X41" i="7"/>
  <c r="X73" i="7"/>
  <c r="Y73" i="7"/>
  <c r="U75" i="7"/>
  <c r="V75" i="7"/>
  <c r="W75" i="7"/>
  <c r="X75" i="7"/>
  <c r="Y75" i="7"/>
  <c r="U77" i="7"/>
  <c r="V77" i="7"/>
  <c r="W77" i="7"/>
  <c r="X77" i="7"/>
  <c r="Y77" i="7"/>
  <c r="U79" i="7"/>
  <c r="V79" i="7"/>
  <c r="W79" i="7"/>
  <c r="X79" i="7"/>
  <c r="Y79" i="7"/>
  <c r="U80" i="7"/>
  <c r="V80" i="7"/>
  <c r="W80" i="7"/>
  <c r="X80" i="7"/>
  <c r="Y80" i="7"/>
  <c r="Y82" i="7"/>
  <c r="Y33" i="7"/>
  <c r="Y21" i="7"/>
  <c r="Y9" i="7"/>
  <c r="Y41" i="7"/>
  <c r="Y84" i="7"/>
  <c r="H6" i="10"/>
  <c r="H8" i="10"/>
  <c r="H10" i="10"/>
  <c r="H4" i="10"/>
  <c r="H12" i="10"/>
  <c r="H14" i="10"/>
  <c r="H21" i="10"/>
  <c r="H24" i="10"/>
  <c r="Z47" i="7"/>
  <c r="AA47" i="7"/>
  <c r="AB47" i="7"/>
  <c r="AC47" i="7"/>
  <c r="AD47" i="7"/>
  <c r="Z4" i="7"/>
  <c r="Z5" i="7"/>
  <c r="Z6" i="7"/>
  <c r="Z50" i="7"/>
  <c r="AA4" i="7"/>
  <c r="AA5" i="7"/>
  <c r="AA6" i="7"/>
  <c r="AA50" i="7"/>
  <c r="AB4" i="7"/>
  <c r="AB5" i="7"/>
  <c r="AB6" i="7"/>
  <c r="AB50" i="7"/>
  <c r="AC4" i="7"/>
  <c r="AC5" i="7"/>
  <c r="AC6" i="7"/>
  <c r="AC50" i="7"/>
  <c r="AD50" i="7"/>
  <c r="Z51" i="7"/>
  <c r="AA51" i="7"/>
  <c r="AB51" i="7"/>
  <c r="AC51" i="7"/>
  <c r="AD51" i="7"/>
  <c r="Z45" i="7"/>
  <c r="Z46" i="7"/>
  <c r="AA45" i="7"/>
  <c r="AA46" i="7"/>
  <c r="AB45" i="7"/>
  <c r="AB46" i="7"/>
  <c r="AC45" i="7"/>
  <c r="AC46" i="7"/>
  <c r="AD46" i="7"/>
  <c r="Z48" i="7"/>
  <c r="AA48" i="7"/>
  <c r="AB48" i="7"/>
  <c r="AC48" i="7"/>
  <c r="AD48" i="7"/>
  <c r="Z49" i="7"/>
  <c r="AA49" i="7"/>
  <c r="AB49" i="7"/>
  <c r="AC49" i="7"/>
  <c r="AD49" i="7"/>
  <c r="Z16" i="7"/>
  <c r="Y20" i="7"/>
  <c r="Y16" i="7"/>
  <c r="Z17" i="7"/>
  <c r="Z18" i="7"/>
  <c r="Z52" i="7"/>
  <c r="AA20" i="7"/>
  <c r="AA16" i="7"/>
  <c r="AA17" i="7"/>
  <c r="AA18" i="7"/>
  <c r="AA52" i="7"/>
  <c r="AB16" i="7"/>
  <c r="AB17" i="7"/>
  <c r="AB18" i="7"/>
  <c r="AB52" i="7"/>
  <c r="AC20" i="7"/>
  <c r="AC16" i="7"/>
  <c r="AC17" i="7"/>
  <c r="AC18" i="7"/>
  <c r="AC52" i="7"/>
  <c r="AD52" i="7"/>
  <c r="Z28" i="7"/>
  <c r="Y32" i="7"/>
  <c r="Y28" i="7"/>
  <c r="Z29" i="7"/>
  <c r="Z30" i="7"/>
  <c r="Z53" i="7"/>
  <c r="AA28" i="7"/>
  <c r="AA29" i="7"/>
  <c r="AA30" i="7"/>
  <c r="AA53" i="7"/>
  <c r="AB28" i="7"/>
  <c r="AB29" i="7"/>
  <c r="AB30" i="7"/>
  <c r="AB53" i="7"/>
  <c r="AC28" i="7"/>
  <c r="AC29" i="7"/>
  <c r="AC30" i="7"/>
  <c r="AC53" i="7"/>
  <c r="AD53" i="7"/>
  <c r="Z21" i="7"/>
  <c r="Z54" i="7"/>
  <c r="AA21" i="7"/>
  <c r="AA54" i="7"/>
  <c r="AB21" i="7"/>
  <c r="AB54" i="7"/>
  <c r="AC21" i="7"/>
  <c r="AC54" i="7"/>
  <c r="AD54" i="7"/>
  <c r="Z56" i="7"/>
  <c r="AA56" i="7"/>
  <c r="AB56" i="7"/>
  <c r="AC56" i="7"/>
  <c r="AD56" i="7"/>
  <c r="Z57" i="7"/>
  <c r="AA57" i="7"/>
  <c r="AB57" i="7"/>
  <c r="AC57" i="7"/>
  <c r="AD57" i="7"/>
  <c r="Z58" i="7"/>
  <c r="AA58" i="7"/>
  <c r="AB58" i="7"/>
  <c r="AC58" i="7"/>
  <c r="AD58" i="7"/>
  <c r="AD60" i="7"/>
  <c r="Z78" i="7"/>
  <c r="AA78" i="7"/>
  <c r="AB78" i="7"/>
  <c r="AC78" i="7"/>
  <c r="AD78" i="7"/>
  <c r="Z65" i="7"/>
  <c r="AA65" i="7"/>
  <c r="AB65" i="7"/>
  <c r="AC65" i="7"/>
  <c r="AD65" i="7"/>
  <c r="Z66" i="7"/>
  <c r="AA66" i="7"/>
  <c r="AB66" i="7"/>
  <c r="AC66" i="7"/>
  <c r="AD66" i="7"/>
  <c r="Z67" i="7"/>
  <c r="AA67" i="7"/>
  <c r="AB67" i="7"/>
  <c r="AC67" i="7"/>
  <c r="AD67" i="7"/>
  <c r="Z68" i="7"/>
  <c r="AA68" i="7"/>
  <c r="AB68" i="7"/>
  <c r="AC68" i="7"/>
  <c r="AD68" i="7"/>
  <c r="Z69" i="7"/>
  <c r="AA69" i="7"/>
  <c r="AB69" i="7"/>
  <c r="AC69" i="7"/>
  <c r="AD69" i="7"/>
  <c r="Z70" i="7"/>
  <c r="AA70" i="7"/>
  <c r="AB70" i="7"/>
  <c r="AC70" i="7"/>
  <c r="AD70" i="7"/>
  <c r="AD71" i="7"/>
  <c r="Z72" i="7"/>
  <c r="AA72" i="7"/>
  <c r="AB72" i="7"/>
  <c r="AC72" i="7"/>
  <c r="AD72" i="7"/>
  <c r="Z33" i="7"/>
  <c r="Y8" i="7"/>
  <c r="Y4" i="7"/>
  <c r="Z9" i="7"/>
  <c r="Z41" i="7"/>
  <c r="Z73" i="7"/>
  <c r="AA33" i="7"/>
  <c r="AA9" i="7"/>
  <c r="AA41" i="7"/>
  <c r="AA73" i="7"/>
  <c r="AB33" i="7"/>
  <c r="AB9" i="7"/>
  <c r="AB41" i="7"/>
  <c r="AB73" i="7"/>
  <c r="AC33" i="7"/>
  <c r="AC9" i="7"/>
  <c r="AC41" i="7"/>
  <c r="AC73" i="7"/>
  <c r="AD73" i="7"/>
  <c r="Z75" i="7"/>
  <c r="AA75" i="7"/>
  <c r="AB75" i="7"/>
  <c r="AC75" i="7"/>
  <c r="AD75" i="7"/>
  <c r="Z77" i="7"/>
  <c r="AA77" i="7"/>
  <c r="AB77" i="7"/>
  <c r="AC77" i="7"/>
  <c r="AD77" i="7"/>
  <c r="Z79" i="7"/>
  <c r="AA79" i="7"/>
  <c r="AB79" i="7"/>
  <c r="AC79" i="7"/>
  <c r="AD79" i="7"/>
  <c r="Z80" i="7"/>
  <c r="AA80" i="7"/>
  <c r="AB80" i="7"/>
  <c r="AC80" i="7"/>
  <c r="AD80" i="7"/>
  <c r="AD82" i="7"/>
  <c r="AD33" i="7"/>
  <c r="AD21" i="7"/>
  <c r="AD9" i="7"/>
  <c r="AD41" i="7"/>
  <c r="AD84" i="7"/>
  <c r="I6" i="10"/>
  <c r="I8" i="10"/>
  <c r="I10" i="10"/>
  <c r="I4" i="10"/>
  <c r="I12" i="10"/>
  <c r="I14" i="10"/>
  <c r="I21" i="10"/>
  <c r="I24" i="10"/>
  <c r="AE47" i="7"/>
  <c r="AF47" i="7"/>
  <c r="AG47" i="7"/>
  <c r="AH47" i="7"/>
  <c r="AI47" i="7"/>
  <c r="AE4" i="7"/>
  <c r="AD8" i="7"/>
  <c r="AD4" i="7"/>
  <c r="AE5" i="7"/>
  <c r="AE6" i="7"/>
  <c r="AE50" i="7"/>
  <c r="AF4" i="7"/>
  <c r="AF5" i="7"/>
  <c r="AF6" i="7"/>
  <c r="AF50" i="7"/>
  <c r="AG4" i="7"/>
  <c r="AG5" i="7"/>
  <c r="AG6" i="7"/>
  <c r="AG50" i="7"/>
  <c r="AH4" i="7"/>
  <c r="AH5" i="7"/>
  <c r="AH6" i="7"/>
  <c r="AH50" i="7"/>
  <c r="AI50" i="7"/>
  <c r="AE51" i="7"/>
  <c r="AF51" i="7"/>
  <c r="AG51" i="7"/>
  <c r="AH51" i="7"/>
  <c r="AI51" i="7"/>
  <c r="AE45" i="7"/>
  <c r="AE46" i="7"/>
  <c r="AF45" i="7"/>
  <c r="AF46" i="7"/>
  <c r="AG45" i="7"/>
  <c r="AG46" i="7"/>
  <c r="AH45" i="7"/>
  <c r="AH46" i="7"/>
  <c r="AI46" i="7"/>
  <c r="AE48" i="7"/>
  <c r="AF48" i="7"/>
  <c r="AG48" i="7"/>
  <c r="AH48" i="7"/>
  <c r="AI48" i="7"/>
  <c r="AE49" i="7"/>
  <c r="AF49" i="7"/>
  <c r="AG49" i="7"/>
  <c r="AH49" i="7"/>
  <c r="AI49" i="7"/>
  <c r="AE16" i="7"/>
  <c r="AD20" i="7"/>
  <c r="AD16" i="7"/>
  <c r="AE17" i="7"/>
  <c r="AE18" i="7"/>
  <c r="AE52" i="7"/>
  <c r="AF20" i="7"/>
  <c r="AF16" i="7"/>
  <c r="AF17" i="7"/>
  <c r="AF18" i="7"/>
  <c r="AF52" i="7"/>
  <c r="AG20" i="7"/>
  <c r="AG16" i="7"/>
  <c r="AG17" i="7"/>
  <c r="AG18" i="7"/>
  <c r="AG52" i="7"/>
  <c r="AH20" i="7"/>
  <c r="AH16" i="7"/>
  <c r="AH17" i="7"/>
  <c r="AH18" i="7"/>
  <c r="AH52" i="7"/>
  <c r="AI52" i="7"/>
  <c r="AE28" i="7"/>
  <c r="AD32" i="7"/>
  <c r="AD28" i="7"/>
  <c r="AE29" i="7"/>
  <c r="AE30" i="7"/>
  <c r="AE53" i="7"/>
  <c r="AF28" i="7"/>
  <c r="AF29" i="7"/>
  <c r="AF30" i="7"/>
  <c r="AF53" i="7"/>
  <c r="AG28" i="7"/>
  <c r="AG29" i="7"/>
  <c r="AG30" i="7"/>
  <c r="AG53" i="7"/>
  <c r="AH28" i="7"/>
  <c r="AH29" i="7"/>
  <c r="AH30" i="7"/>
  <c r="AH53" i="7"/>
  <c r="AI53" i="7"/>
  <c r="AE21" i="7"/>
  <c r="AE54" i="7"/>
  <c r="AF21" i="7"/>
  <c r="AF54" i="7"/>
  <c r="AG21" i="7"/>
  <c r="AG54" i="7"/>
  <c r="AH21" i="7"/>
  <c r="AH54" i="7"/>
  <c r="AI54" i="7"/>
  <c r="AE56" i="7"/>
  <c r="AF56" i="7"/>
  <c r="AG56" i="7"/>
  <c r="AH56" i="7"/>
  <c r="AI56" i="7"/>
  <c r="AE57" i="7"/>
  <c r="AF57" i="7"/>
  <c r="AG57" i="7"/>
  <c r="AH57" i="7"/>
  <c r="AI57" i="7"/>
  <c r="AE58" i="7"/>
  <c r="AF58" i="7"/>
  <c r="AG58" i="7"/>
  <c r="AH58" i="7"/>
  <c r="AI58" i="7"/>
  <c r="AI60" i="7"/>
  <c r="AE78" i="7"/>
  <c r="AF78" i="7"/>
  <c r="AG78" i="7"/>
  <c r="AH78" i="7"/>
  <c r="AI78" i="7"/>
  <c r="AE65" i="7"/>
  <c r="AF65" i="7"/>
  <c r="AG65" i="7"/>
  <c r="AH65" i="7"/>
  <c r="AI65" i="7"/>
  <c r="AE66" i="7"/>
  <c r="AF66" i="7"/>
  <c r="AG66" i="7"/>
  <c r="AH66" i="7"/>
  <c r="AI66" i="7"/>
  <c r="AE67" i="7"/>
  <c r="AF67" i="7"/>
  <c r="AG67" i="7"/>
  <c r="AH67" i="7"/>
  <c r="AI67" i="7"/>
  <c r="AE68" i="7"/>
  <c r="AF68" i="7"/>
  <c r="AG68" i="7"/>
  <c r="AH68" i="7"/>
  <c r="AI68" i="7"/>
  <c r="AE69" i="7"/>
  <c r="AF69" i="7"/>
  <c r="AG69" i="7"/>
  <c r="AH69" i="7"/>
  <c r="AI69" i="7"/>
  <c r="AE70" i="7"/>
  <c r="AF70" i="7"/>
  <c r="AG70" i="7"/>
  <c r="AH70" i="7"/>
  <c r="AI70" i="7"/>
  <c r="AI71" i="7"/>
  <c r="AE72" i="7"/>
  <c r="AF72" i="7"/>
  <c r="AG72" i="7"/>
  <c r="AH72" i="7"/>
  <c r="AI72" i="7"/>
  <c r="AE33" i="7"/>
  <c r="AE9" i="7"/>
  <c r="AE41" i="7"/>
  <c r="AE73" i="7"/>
  <c r="AF33" i="7"/>
  <c r="AF9" i="7"/>
  <c r="AF41" i="7"/>
  <c r="AF73" i="7"/>
  <c r="AG33" i="7"/>
  <c r="AG9" i="7"/>
  <c r="AG41" i="7"/>
  <c r="AG73" i="7"/>
  <c r="AH33" i="7"/>
  <c r="AH9" i="7"/>
  <c r="AH41" i="7"/>
  <c r="AH73" i="7"/>
  <c r="AI73" i="7"/>
  <c r="AE75" i="7"/>
  <c r="AF75" i="7"/>
  <c r="AG75" i="7"/>
  <c r="AH75" i="7"/>
  <c r="AI75" i="7"/>
  <c r="AE77" i="7"/>
  <c r="AF77" i="7"/>
  <c r="AG77" i="7"/>
  <c r="AH77" i="7"/>
  <c r="AI77" i="7"/>
  <c r="AE79" i="7"/>
  <c r="AF79" i="7"/>
  <c r="AG79" i="7"/>
  <c r="AH79" i="7"/>
  <c r="AI79" i="7"/>
  <c r="AE80" i="7"/>
  <c r="AF80" i="7"/>
  <c r="AG80" i="7"/>
  <c r="AH80" i="7"/>
  <c r="AI80" i="7"/>
  <c r="AI82" i="7"/>
  <c r="AI33" i="7"/>
  <c r="AI21" i="7"/>
  <c r="AI9" i="7"/>
  <c r="AI41" i="7"/>
  <c r="AI84" i="7"/>
  <c r="J6" i="10"/>
  <c r="J8" i="10"/>
  <c r="J10" i="10"/>
  <c r="J4" i="10"/>
  <c r="J12" i="10"/>
  <c r="J14" i="10"/>
  <c r="J21" i="10"/>
  <c r="J24" i="10"/>
  <c r="AJ47" i="7"/>
  <c r="AK47" i="7"/>
  <c r="AL47" i="7"/>
  <c r="AM47" i="7"/>
  <c r="AN47" i="7"/>
  <c r="AJ4" i="7"/>
  <c r="AI8" i="7"/>
  <c r="AI4" i="7"/>
  <c r="AJ5" i="7"/>
  <c r="AJ6" i="7"/>
  <c r="AJ50" i="7"/>
  <c r="AK4" i="7"/>
  <c r="AK5" i="7"/>
  <c r="AK6" i="7"/>
  <c r="AK50" i="7"/>
  <c r="AL4" i="7"/>
  <c r="AL5" i="7"/>
  <c r="AL6" i="7"/>
  <c r="AL50" i="7"/>
  <c r="AM4" i="7"/>
  <c r="AM5" i="7"/>
  <c r="AM6" i="7"/>
  <c r="AM50" i="7"/>
  <c r="AN50" i="7"/>
  <c r="AJ51" i="7"/>
  <c r="AK51" i="7"/>
  <c r="AL51" i="7"/>
  <c r="AM51" i="7"/>
  <c r="AN51" i="7"/>
  <c r="AJ45" i="7"/>
  <c r="AJ46" i="7"/>
  <c r="AK45" i="7"/>
  <c r="AK46" i="7"/>
  <c r="AL45" i="7"/>
  <c r="AL46" i="7"/>
  <c r="AM45" i="7"/>
  <c r="AM46" i="7"/>
  <c r="AN46" i="7"/>
  <c r="AJ48" i="7"/>
  <c r="AK48" i="7"/>
  <c r="AL48" i="7"/>
  <c r="AM48" i="7"/>
  <c r="AN48" i="7"/>
  <c r="AJ49" i="7"/>
  <c r="AK49" i="7"/>
  <c r="AL49" i="7"/>
  <c r="AM49" i="7"/>
  <c r="AN49" i="7"/>
  <c r="AJ16" i="7"/>
  <c r="AI20" i="7"/>
  <c r="AI16" i="7"/>
  <c r="AJ17" i="7"/>
  <c r="AJ18" i="7"/>
  <c r="AJ52" i="7"/>
  <c r="AK20" i="7"/>
  <c r="AK16" i="7"/>
  <c r="AK17" i="7"/>
  <c r="AK18" i="7"/>
  <c r="AK52" i="7"/>
  <c r="AL20" i="7"/>
  <c r="AL16" i="7"/>
  <c r="AL17" i="7"/>
  <c r="AL18" i="7"/>
  <c r="AL52" i="7"/>
  <c r="AM20" i="7"/>
  <c r="AM16" i="7"/>
  <c r="AM17" i="7"/>
  <c r="AM18" i="7"/>
  <c r="AM52" i="7"/>
  <c r="AN52" i="7"/>
  <c r="AJ28" i="7"/>
  <c r="AI32" i="7"/>
  <c r="AI28" i="7"/>
  <c r="AJ29" i="7"/>
  <c r="AJ30" i="7"/>
  <c r="AJ53" i="7"/>
  <c r="AK28" i="7"/>
  <c r="AK29" i="7"/>
  <c r="AK30" i="7"/>
  <c r="AK53" i="7"/>
  <c r="AL28" i="7"/>
  <c r="AL29" i="7"/>
  <c r="AL30" i="7"/>
  <c r="AL53" i="7"/>
  <c r="AM28" i="7"/>
  <c r="AM29" i="7"/>
  <c r="AM30" i="7"/>
  <c r="AM53" i="7"/>
  <c r="AN53" i="7"/>
  <c r="AJ21" i="7"/>
  <c r="AJ54" i="7"/>
  <c r="AK21" i="7"/>
  <c r="AK54" i="7"/>
  <c r="AL21" i="7"/>
  <c r="AL54" i="7"/>
  <c r="AM21" i="7"/>
  <c r="AM54" i="7"/>
  <c r="AN54" i="7"/>
  <c r="AJ56" i="7"/>
  <c r="AK56" i="7"/>
  <c r="AL56" i="7"/>
  <c r="AM56" i="7"/>
  <c r="AN56" i="7"/>
  <c r="AJ57" i="7"/>
  <c r="AK57" i="7"/>
  <c r="AL57" i="7"/>
  <c r="AM57" i="7"/>
  <c r="AN57" i="7"/>
  <c r="AJ58" i="7"/>
  <c r="AK58" i="7"/>
  <c r="AL58" i="7"/>
  <c r="AM58" i="7"/>
  <c r="AN58" i="7"/>
  <c r="AN60" i="7"/>
  <c r="AJ78" i="7"/>
  <c r="AK78" i="7"/>
  <c r="AL78" i="7"/>
  <c r="AM78" i="7"/>
  <c r="AN78" i="7"/>
  <c r="AJ65" i="7"/>
  <c r="AK65" i="7"/>
  <c r="AL65" i="7"/>
  <c r="AM65" i="7"/>
  <c r="AN65" i="7"/>
  <c r="AJ66" i="7"/>
  <c r="AK66" i="7"/>
  <c r="AL66" i="7"/>
  <c r="AM66" i="7"/>
  <c r="AN66" i="7"/>
  <c r="AJ67" i="7"/>
  <c r="AK67" i="7"/>
  <c r="AL67" i="7"/>
  <c r="AM67" i="7"/>
  <c r="AN67" i="7"/>
  <c r="AJ68" i="7"/>
  <c r="AK68" i="7"/>
  <c r="AL68" i="7"/>
  <c r="AM68" i="7"/>
  <c r="AN68" i="7"/>
  <c r="AJ69" i="7"/>
  <c r="AK69" i="7"/>
  <c r="AL69" i="7"/>
  <c r="AM69" i="7"/>
  <c r="AN69" i="7"/>
  <c r="AJ70" i="7"/>
  <c r="AK70" i="7"/>
  <c r="AL70" i="7"/>
  <c r="AM70" i="7"/>
  <c r="AN70" i="7"/>
  <c r="AJ72" i="7"/>
  <c r="AK72" i="7"/>
  <c r="AL72" i="7"/>
  <c r="AM72" i="7"/>
  <c r="AN72" i="7"/>
  <c r="AJ33" i="7"/>
  <c r="AJ9" i="7"/>
  <c r="AJ41" i="7"/>
  <c r="AJ73" i="7"/>
  <c r="AK33" i="7"/>
  <c r="AK9" i="7"/>
  <c r="AK41" i="7"/>
  <c r="AK73" i="7"/>
  <c r="AL33" i="7"/>
  <c r="AL9" i="7"/>
  <c r="AL41" i="7"/>
  <c r="AL73" i="7"/>
  <c r="AM33" i="7"/>
  <c r="AM9" i="7"/>
  <c r="AM41" i="7"/>
  <c r="AM73" i="7"/>
  <c r="AN73" i="7"/>
  <c r="AJ75" i="7"/>
  <c r="AK75" i="7"/>
  <c r="AL75" i="7"/>
  <c r="AM75" i="7"/>
  <c r="AN75" i="7"/>
  <c r="AJ77" i="7"/>
  <c r="AK77" i="7"/>
  <c r="AL77" i="7"/>
  <c r="AM77" i="7"/>
  <c r="AN77" i="7"/>
  <c r="AJ79" i="7"/>
  <c r="AK79" i="7"/>
  <c r="AL79" i="7"/>
  <c r="AM79" i="7"/>
  <c r="AN79" i="7"/>
  <c r="AJ80" i="7"/>
  <c r="AK80" i="7"/>
  <c r="AL80" i="7"/>
  <c r="AM80" i="7"/>
  <c r="AN80" i="7"/>
  <c r="AN82" i="7"/>
  <c r="AN33" i="7"/>
  <c r="AN21" i="7"/>
  <c r="AN9" i="7"/>
  <c r="AN41" i="7"/>
  <c r="AN84" i="7"/>
  <c r="K6" i="10"/>
  <c r="K8" i="10"/>
  <c r="K10" i="10"/>
  <c r="K4" i="10"/>
  <c r="K12" i="10"/>
  <c r="K14" i="10"/>
  <c r="K21" i="10"/>
  <c r="K24" i="10"/>
  <c r="E20" i="10"/>
  <c r="E23" i="10"/>
  <c r="F17" i="10"/>
  <c r="F20" i="10"/>
  <c r="F23" i="10"/>
  <c r="G16" i="10"/>
  <c r="G17" i="10"/>
  <c r="G20" i="10"/>
  <c r="G23" i="10"/>
  <c r="H16" i="10"/>
  <c r="H17" i="10"/>
  <c r="H20" i="10"/>
  <c r="H23" i="10"/>
  <c r="I16" i="10"/>
  <c r="I17" i="10"/>
  <c r="I20" i="10"/>
  <c r="I23" i="10"/>
  <c r="J16" i="10"/>
  <c r="J17" i="10"/>
  <c r="J20" i="10"/>
  <c r="J23" i="10"/>
  <c r="K16" i="10"/>
  <c r="K17" i="10"/>
  <c r="K20" i="10"/>
  <c r="K23" i="10"/>
  <c r="AN32" i="7"/>
  <c r="L8" i="10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L6" i="10"/>
  <c r="L10" i="10"/>
  <c r="L12" i="10"/>
  <c r="L14" i="10"/>
  <c r="D17" i="5"/>
  <c r="D18" i="5"/>
  <c r="D19" i="5"/>
  <c r="D20" i="5"/>
  <c r="D21" i="5"/>
  <c r="D138" i="5"/>
  <c r="E17" i="5"/>
  <c r="E18" i="5"/>
  <c r="E19" i="5"/>
  <c r="E20" i="5"/>
  <c r="E21" i="5"/>
  <c r="E138" i="5"/>
  <c r="F17" i="5"/>
  <c r="F18" i="5"/>
  <c r="F19" i="5"/>
  <c r="F20" i="5"/>
  <c r="F21" i="5"/>
  <c r="F138" i="5"/>
  <c r="G17" i="5"/>
  <c r="G18" i="5"/>
  <c r="G19" i="5"/>
  <c r="G20" i="5"/>
  <c r="G21" i="5"/>
  <c r="G138" i="5"/>
  <c r="H17" i="5"/>
  <c r="H18" i="5"/>
  <c r="H19" i="5"/>
  <c r="H20" i="5"/>
  <c r="H21" i="5"/>
  <c r="H138" i="5"/>
  <c r="I17" i="5"/>
  <c r="I18" i="5"/>
  <c r="I19" i="5"/>
  <c r="I20" i="5"/>
  <c r="I21" i="5"/>
  <c r="I138" i="5"/>
  <c r="J17" i="5"/>
  <c r="J18" i="5"/>
  <c r="J19" i="5"/>
  <c r="J20" i="5"/>
  <c r="J21" i="5"/>
  <c r="J138" i="5"/>
  <c r="K17" i="5"/>
  <c r="K18" i="5"/>
  <c r="K19" i="5"/>
  <c r="K20" i="5"/>
  <c r="K21" i="5"/>
  <c r="K138" i="5"/>
  <c r="L17" i="5"/>
  <c r="L18" i="5"/>
  <c r="L19" i="5"/>
  <c r="L20" i="5"/>
  <c r="L21" i="5"/>
  <c r="L138" i="5"/>
  <c r="M17" i="5"/>
  <c r="M18" i="5"/>
  <c r="M19" i="5"/>
  <c r="M20" i="5"/>
  <c r="M21" i="5"/>
  <c r="M138" i="5"/>
  <c r="N17" i="5"/>
  <c r="N18" i="5"/>
  <c r="N19" i="5"/>
  <c r="N20" i="5"/>
  <c r="N21" i="5"/>
  <c r="N138" i="5"/>
  <c r="O17" i="5"/>
  <c r="O18" i="5"/>
  <c r="O19" i="5"/>
  <c r="O20" i="5"/>
  <c r="O21" i="5"/>
  <c r="O138" i="5"/>
  <c r="P138" i="5"/>
  <c r="D62" i="5"/>
  <c r="D63" i="5"/>
  <c r="D64" i="5"/>
  <c r="D65" i="5"/>
  <c r="D66" i="5"/>
  <c r="D145" i="5"/>
  <c r="E62" i="5"/>
  <c r="E63" i="5"/>
  <c r="E64" i="5"/>
  <c r="E65" i="5"/>
  <c r="E66" i="5"/>
  <c r="E145" i="5"/>
  <c r="F62" i="5"/>
  <c r="F63" i="5"/>
  <c r="F64" i="5"/>
  <c r="F65" i="5"/>
  <c r="F66" i="5"/>
  <c r="F145" i="5"/>
  <c r="G62" i="5"/>
  <c r="G63" i="5"/>
  <c r="G64" i="5"/>
  <c r="G65" i="5"/>
  <c r="G66" i="5"/>
  <c r="G145" i="5"/>
  <c r="H62" i="5"/>
  <c r="H63" i="5"/>
  <c r="H64" i="5"/>
  <c r="H65" i="5"/>
  <c r="H66" i="5"/>
  <c r="H145" i="5"/>
  <c r="I62" i="5"/>
  <c r="I63" i="5"/>
  <c r="I64" i="5"/>
  <c r="I65" i="5"/>
  <c r="I66" i="5"/>
  <c r="I145" i="5"/>
  <c r="J62" i="5"/>
  <c r="J63" i="5"/>
  <c r="J64" i="5"/>
  <c r="J65" i="5"/>
  <c r="J66" i="5"/>
  <c r="J145" i="5"/>
  <c r="K62" i="5"/>
  <c r="K63" i="5"/>
  <c r="K64" i="5"/>
  <c r="K65" i="5"/>
  <c r="K66" i="5"/>
  <c r="K145" i="5"/>
  <c r="L62" i="5"/>
  <c r="L63" i="5"/>
  <c r="L64" i="5"/>
  <c r="L65" i="5"/>
  <c r="L66" i="5"/>
  <c r="L145" i="5"/>
  <c r="M62" i="5"/>
  <c r="M63" i="5"/>
  <c r="M64" i="5"/>
  <c r="M65" i="5"/>
  <c r="M66" i="5"/>
  <c r="M145" i="5"/>
  <c r="N62" i="5"/>
  <c r="N63" i="5"/>
  <c r="N64" i="5"/>
  <c r="N65" i="5"/>
  <c r="N66" i="5"/>
  <c r="N145" i="5"/>
  <c r="O62" i="5"/>
  <c r="O63" i="5"/>
  <c r="O64" i="5"/>
  <c r="O65" i="5"/>
  <c r="O66" i="5"/>
  <c r="O145" i="5"/>
  <c r="P145" i="5"/>
  <c r="F48" i="7"/>
  <c r="G48" i="7"/>
  <c r="H48" i="7"/>
  <c r="I48" i="7"/>
  <c r="D36" i="5"/>
  <c r="D38" i="5"/>
  <c r="D40" i="5"/>
  <c r="D41" i="5"/>
  <c r="D139" i="5"/>
  <c r="E36" i="5"/>
  <c r="E38" i="5"/>
  <c r="E40" i="5"/>
  <c r="E41" i="5"/>
  <c r="E139" i="5"/>
  <c r="F36" i="5"/>
  <c r="F38" i="5"/>
  <c r="F40" i="5"/>
  <c r="F41" i="5"/>
  <c r="F139" i="5"/>
  <c r="G36" i="5"/>
  <c r="G38" i="5"/>
  <c r="G40" i="5"/>
  <c r="G41" i="5"/>
  <c r="G139" i="5"/>
  <c r="H36" i="5"/>
  <c r="H38" i="5"/>
  <c r="H40" i="5"/>
  <c r="H41" i="5"/>
  <c r="H139" i="5"/>
  <c r="I36" i="5"/>
  <c r="I38" i="5"/>
  <c r="I40" i="5"/>
  <c r="I41" i="5"/>
  <c r="I139" i="5"/>
  <c r="J36" i="5"/>
  <c r="J38" i="5"/>
  <c r="J40" i="5"/>
  <c r="J41" i="5"/>
  <c r="J139" i="5"/>
  <c r="K36" i="5"/>
  <c r="K38" i="5"/>
  <c r="K40" i="5"/>
  <c r="K41" i="5"/>
  <c r="K139" i="5"/>
  <c r="L36" i="5"/>
  <c r="L38" i="5"/>
  <c r="L40" i="5"/>
  <c r="L41" i="5"/>
  <c r="L139" i="5"/>
  <c r="M36" i="5"/>
  <c r="M38" i="5"/>
  <c r="M40" i="5"/>
  <c r="M41" i="5"/>
  <c r="M139" i="5"/>
  <c r="N36" i="5"/>
  <c r="N38" i="5"/>
  <c r="N40" i="5"/>
  <c r="N41" i="5"/>
  <c r="N139" i="5"/>
  <c r="O36" i="5"/>
  <c r="O38" i="5"/>
  <c r="O40" i="5"/>
  <c r="O41" i="5"/>
  <c r="O139" i="5"/>
  <c r="P139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D81" i="5"/>
  <c r="D83" i="5"/>
  <c r="D85" i="5"/>
  <c r="D86" i="5"/>
  <c r="D146" i="5"/>
  <c r="E81" i="5"/>
  <c r="E83" i="5"/>
  <c r="E85" i="5"/>
  <c r="E86" i="5"/>
  <c r="E146" i="5"/>
  <c r="F81" i="5"/>
  <c r="F83" i="5"/>
  <c r="F85" i="5"/>
  <c r="F86" i="5"/>
  <c r="F146" i="5"/>
  <c r="G81" i="5"/>
  <c r="G83" i="5"/>
  <c r="G85" i="5"/>
  <c r="G86" i="5"/>
  <c r="G146" i="5"/>
  <c r="H81" i="5"/>
  <c r="H83" i="5"/>
  <c r="H85" i="5"/>
  <c r="H86" i="5"/>
  <c r="H146" i="5"/>
  <c r="I81" i="5"/>
  <c r="I83" i="5"/>
  <c r="I85" i="5"/>
  <c r="I86" i="5"/>
  <c r="I146" i="5"/>
  <c r="J81" i="5"/>
  <c r="J83" i="5"/>
  <c r="J85" i="5"/>
  <c r="J86" i="5"/>
  <c r="J146" i="5"/>
  <c r="K81" i="5"/>
  <c r="K83" i="5"/>
  <c r="K85" i="5"/>
  <c r="K86" i="5"/>
  <c r="K146" i="5"/>
  <c r="L81" i="5"/>
  <c r="L83" i="5"/>
  <c r="L85" i="5"/>
  <c r="L86" i="5"/>
  <c r="L146" i="5"/>
  <c r="M81" i="5"/>
  <c r="M83" i="5"/>
  <c r="M85" i="5"/>
  <c r="M86" i="5"/>
  <c r="M146" i="5"/>
  <c r="N81" i="5"/>
  <c r="N83" i="5"/>
  <c r="N85" i="5"/>
  <c r="N86" i="5"/>
  <c r="N146" i="5"/>
  <c r="O81" i="5"/>
  <c r="O83" i="5"/>
  <c r="O85" i="5"/>
  <c r="O86" i="5"/>
  <c r="O146" i="5"/>
  <c r="P146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F65" i="7"/>
  <c r="G65" i="7"/>
  <c r="H65" i="7"/>
  <c r="I65" i="7"/>
  <c r="D29" i="10"/>
  <c r="AN10" i="7"/>
  <c r="E4" i="10"/>
  <c r="D32" i="10"/>
  <c r="D38" i="10"/>
  <c r="D33" i="10"/>
  <c r="D39" i="10"/>
  <c r="D30" i="10"/>
  <c r="J29" i="10"/>
  <c r="F29" i="10"/>
  <c r="D27" i="10"/>
  <c r="D26" i="10"/>
  <c r="L4" i="10"/>
  <c r="G3" i="6"/>
  <c r="G5" i="6"/>
  <c r="G16" i="6"/>
  <c r="D16" i="6"/>
  <c r="E16" i="6"/>
  <c r="F16" i="6"/>
  <c r="E40" i="8"/>
  <c r="F82" i="7"/>
  <c r="F60" i="7"/>
  <c r="F84" i="7"/>
  <c r="G82" i="7"/>
  <c r="G60" i="7"/>
  <c r="G84" i="7"/>
  <c r="H60" i="7"/>
  <c r="I60" i="7"/>
  <c r="F61" i="7"/>
  <c r="F62" i="7"/>
  <c r="G61" i="7"/>
  <c r="G62" i="7"/>
  <c r="H61" i="7"/>
  <c r="H62" i="7"/>
  <c r="I61" i="7"/>
  <c r="I62" i="7"/>
  <c r="J61" i="7"/>
  <c r="J62" i="7"/>
  <c r="O45" i="7"/>
  <c r="T45" i="7"/>
  <c r="Y45" i="7"/>
  <c r="AD45" i="7"/>
  <c r="AI45" i="7"/>
  <c r="AN8" i="7"/>
  <c r="AN4" i="7"/>
  <c r="AN45" i="7"/>
  <c r="J45" i="7"/>
  <c r="E41" i="7"/>
  <c r="G11" i="7"/>
  <c r="H11" i="7"/>
  <c r="I11" i="7"/>
  <c r="J11" i="7"/>
  <c r="K11" i="7"/>
  <c r="L11" i="7"/>
  <c r="J5" i="7"/>
  <c r="J6" i="7"/>
  <c r="AN20" i="7"/>
  <c r="AN16" i="7"/>
  <c r="AN17" i="7"/>
  <c r="AN18" i="7"/>
  <c r="AN85" i="7"/>
  <c r="AM60" i="7"/>
  <c r="AM82" i="7"/>
  <c r="AM84" i="7"/>
  <c r="AM85" i="7"/>
  <c r="AL60" i="7"/>
  <c r="AL82" i="7"/>
  <c r="AL84" i="7"/>
  <c r="AL85" i="7"/>
  <c r="AK60" i="7"/>
  <c r="AK82" i="7"/>
  <c r="AK84" i="7"/>
  <c r="AK85" i="7"/>
  <c r="AJ60" i="7"/>
  <c r="AJ82" i="7"/>
  <c r="AJ84" i="7"/>
  <c r="AJ85" i="7"/>
  <c r="AI17" i="7"/>
  <c r="AI18" i="7"/>
  <c r="AI85" i="7"/>
  <c r="AH60" i="7"/>
  <c r="AH82" i="7"/>
  <c r="AH84" i="7"/>
  <c r="AH85" i="7"/>
  <c r="AG60" i="7"/>
  <c r="AG82" i="7"/>
  <c r="AG84" i="7"/>
  <c r="AG85" i="7"/>
  <c r="AF60" i="7"/>
  <c r="AF82" i="7"/>
  <c r="AF84" i="7"/>
  <c r="AF85" i="7"/>
  <c r="AE60" i="7"/>
  <c r="AE82" i="7"/>
  <c r="AE84" i="7"/>
  <c r="AE85" i="7"/>
  <c r="AD17" i="7"/>
  <c r="AD18" i="7"/>
  <c r="AD85" i="7"/>
  <c r="AC60" i="7"/>
  <c r="AC82" i="7"/>
  <c r="AC84" i="7"/>
  <c r="AC85" i="7"/>
  <c r="AB60" i="7"/>
  <c r="AB82" i="7"/>
  <c r="AB84" i="7"/>
  <c r="AB85" i="7"/>
  <c r="AA60" i="7"/>
  <c r="AA82" i="7"/>
  <c r="AA84" i="7"/>
  <c r="AA85" i="7"/>
  <c r="Z60" i="7"/>
  <c r="Z82" i="7"/>
  <c r="Z84" i="7"/>
  <c r="Z85" i="7"/>
  <c r="Y17" i="7"/>
  <c r="Y18" i="7"/>
  <c r="Y85" i="7"/>
  <c r="X60" i="7"/>
  <c r="X82" i="7"/>
  <c r="X84" i="7"/>
  <c r="X85" i="7"/>
  <c r="W60" i="7"/>
  <c r="W82" i="7"/>
  <c r="W84" i="7"/>
  <c r="W85" i="7"/>
  <c r="V60" i="7"/>
  <c r="V82" i="7"/>
  <c r="V84" i="7"/>
  <c r="V85" i="7"/>
  <c r="U60" i="7"/>
  <c r="U82" i="7"/>
  <c r="U84" i="7"/>
  <c r="U85" i="7"/>
  <c r="T17" i="7"/>
  <c r="T18" i="7"/>
  <c r="T85" i="7"/>
  <c r="S60" i="7"/>
  <c r="S82" i="7"/>
  <c r="S84" i="7"/>
  <c r="S85" i="7"/>
  <c r="R60" i="7"/>
  <c r="R82" i="7"/>
  <c r="R84" i="7"/>
  <c r="R85" i="7"/>
  <c r="Q60" i="7"/>
  <c r="Q82" i="7"/>
  <c r="Q84" i="7"/>
  <c r="Q85" i="7"/>
  <c r="P60" i="7"/>
  <c r="P82" i="7"/>
  <c r="P84" i="7"/>
  <c r="P85" i="7"/>
  <c r="O17" i="7"/>
  <c r="O18" i="7"/>
  <c r="K12" i="7"/>
  <c r="O85" i="7"/>
  <c r="N60" i="7"/>
  <c r="N82" i="7"/>
  <c r="N84" i="7"/>
  <c r="N85" i="7"/>
  <c r="M60" i="7"/>
  <c r="M82" i="7"/>
  <c r="M84" i="7"/>
  <c r="M85" i="7"/>
  <c r="L60" i="7"/>
  <c r="L82" i="7"/>
  <c r="L84" i="7"/>
  <c r="L85" i="7"/>
  <c r="K60" i="7"/>
  <c r="K82" i="7"/>
  <c r="K84" i="7"/>
  <c r="K85" i="7"/>
  <c r="I82" i="7"/>
  <c r="I84" i="7"/>
  <c r="H82" i="7"/>
  <c r="H84" i="7"/>
  <c r="AN61" i="7"/>
  <c r="AN62" i="7"/>
  <c r="AM61" i="7"/>
  <c r="AM62" i="7"/>
  <c r="AL61" i="7"/>
  <c r="AL62" i="7"/>
  <c r="AK61" i="7"/>
  <c r="AK62" i="7"/>
  <c r="AJ61" i="7"/>
  <c r="AJ62" i="7"/>
  <c r="AI61" i="7"/>
  <c r="AI62" i="7"/>
  <c r="AH61" i="7"/>
  <c r="AH62" i="7"/>
  <c r="AG61" i="7"/>
  <c r="AG62" i="7"/>
  <c r="AF61" i="7"/>
  <c r="AF62" i="7"/>
  <c r="AE61" i="7"/>
  <c r="AE62" i="7"/>
  <c r="AD61" i="7"/>
  <c r="AD62" i="7"/>
  <c r="AC61" i="7"/>
  <c r="AC62" i="7"/>
  <c r="AB61" i="7"/>
  <c r="AB62" i="7"/>
  <c r="AA61" i="7"/>
  <c r="AA62" i="7"/>
  <c r="Z61" i="7"/>
  <c r="Z62" i="7"/>
  <c r="Y61" i="7"/>
  <c r="Y62" i="7"/>
  <c r="X61" i="7"/>
  <c r="X62" i="7"/>
  <c r="W61" i="7"/>
  <c r="W62" i="7"/>
  <c r="V61" i="7"/>
  <c r="V62" i="7"/>
  <c r="U61" i="7"/>
  <c r="U62" i="7"/>
  <c r="T61" i="7"/>
  <c r="T62" i="7"/>
  <c r="S61" i="7"/>
  <c r="S62" i="7"/>
  <c r="R61" i="7"/>
  <c r="R62" i="7"/>
  <c r="Q61" i="7"/>
  <c r="Q62" i="7"/>
  <c r="P61" i="7"/>
  <c r="P62" i="7"/>
  <c r="O61" i="7"/>
  <c r="O62" i="7"/>
  <c r="N61" i="7"/>
  <c r="N62" i="7"/>
  <c r="M61" i="7"/>
  <c r="M62" i="7"/>
  <c r="L61" i="7"/>
  <c r="L62" i="7"/>
  <c r="K61" i="7"/>
  <c r="K62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N36" i="7"/>
  <c r="M36" i="7"/>
  <c r="L36" i="7"/>
  <c r="K36" i="7"/>
  <c r="AN28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AN29" i="7"/>
  <c r="AN30" i="7"/>
  <c r="AI29" i="7"/>
  <c r="AI30" i="7"/>
  <c r="AD29" i="7"/>
  <c r="AD30" i="7"/>
  <c r="Y29" i="7"/>
  <c r="Y30" i="7"/>
  <c r="T29" i="7"/>
  <c r="T30" i="7"/>
  <c r="O29" i="7"/>
  <c r="O30" i="7"/>
  <c r="J29" i="7"/>
  <c r="J30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N24" i="7"/>
  <c r="M24" i="7"/>
  <c r="L24" i="7"/>
  <c r="K24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J17" i="7"/>
  <c r="J18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N12" i="7"/>
  <c r="M12" i="7"/>
  <c r="L12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N11" i="7"/>
  <c r="M11" i="7"/>
  <c r="AN5" i="7"/>
  <c r="AN6" i="7"/>
  <c r="AI5" i="7"/>
  <c r="AI6" i="7"/>
  <c r="AD5" i="7"/>
  <c r="AD6" i="7"/>
  <c r="Y5" i="7"/>
  <c r="Y6" i="7"/>
  <c r="T5" i="7"/>
  <c r="T6" i="7"/>
  <c r="O5" i="7"/>
  <c r="O6" i="7"/>
  <c r="C10" i="6"/>
  <c r="D10" i="6"/>
  <c r="G6" i="6"/>
  <c r="G10" i="6"/>
  <c r="F15" i="6"/>
  <c r="E15" i="6"/>
  <c r="G15" i="6"/>
  <c r="D15" i="6"/>
  <c r="C7" i="6"/>
  <c r="D7" i="6"/>
  <c r="G7" i="6"/>
  <c r="H8" i="6"/>
  <c r="G23" i="6"/>
  <c r="E23" i="6"/>
  <c r="P21" i="5"/>
  <c r="P20" i="5"/>
  <c r="P65" i="5"/>
  <c r="P66" i="5"/>
  <c r="O93" i="5"/>
  <c r="N93" i="5"/>
  <c r="M93" i="5"/>
  <c r="L93" i="5"/>
  <c r="K93" i="5"/>
  <c r="J93" i="5"/>
  <c r="I93" i="5"/>
  <c r="H93" i="5"/>
  <c r="G93" i="5"/>
  <c r="F93" i="5"/>
  <c r="E93" i="5"/>
  <c r="D93" i="5"/>
  <c r="P93" i="5"/>
  <c r="E106" i="5"/>
  <c r="E125" i="5"/>
  <c r="E134" i="5"/>
  <c r="F106" i="5"/>
  <c r="F125" i="5"/>
  <c r="F134" i="5"/>
  <c r="G106" i="5"/>
  <c r="G125" i="5"/>
  <c r="G134" i="5"/>
  <c r="H106" i="5"/>
  <c r="H125" i="5"/>
  <c r="H134" i="5"/>
  <c r="I106" i="5"/>
  <c r="I125" i="5"/>
  <c r="I134" i="5"/>
  <c r="J106" i="5"/>
  <c r="J125" i="5"/>
  <c r="J134" i="5"/>
  <c r="K106" i="5"/>
  <c r="K125" i="5"/>
  <c r="K134" i="5"/>
  <c r="L106" i="5"/>
  <c r="L125" i="5"/>
  <c r="L134" i="5"/>
  <c r="M106" i="5"/>
  <c r="M125" i="5"/>
  <c r="M134" i="5"/>
  <c r="N106" i="5"/>
  <c r="N125" i="5"/>
  <c r="N134" i="5"/>
  <c r="O106" i="5"/>
  <c r="O125" i="5"/>
  <c r="O134" i="5"/>
  <c r="D106" i="5"/>
  <c r="D125" i="5"/>
  <c r="D134" i="5"/>
  <c r="O80" i="5"/>
  <c r="N80" i="5"/>
  <c r="M80" i="5"/>
  <c r="L80" i="5"/>
  <c r="K80" i="5"/>
  <c r="J80" i="5"/>
  <c r="I80" i="5"/>
  <c r="H80" i="5"/>
  <c r="G80" i="5"/>
  <c r="F80" i="5"/>
  <c r="E80" i="5"/>
  <c r="D80" i="5"/>
  <c r="P80" i="5"/>
  <c r="O61" i="5"/>
  <c r="N61" i="5"/>
  <c r="M61" i="5"/>
  <c r="L61" i="5"/>
  <c r="K61" i="5"/>
  <c r="J61" i="5"/>
  <c r="I61" i="5"/>
  <c r="H61" i="5"/>
  <c r="G61" i="5"/>
  <c r="F61" i="5"/>
  <c r="E61" i="5"/>
  <c r="D61" i="5"/>
  <c r="P61" i="5"/>
  <c r="D48" i="5"/>
  <c r="M48" i="5"/>
  <c r="L48" i="5"/>
  <c r="K48" i="5"/>
  <c r="J48" i="5"/>
  <c r="I48" i="5"/>
  <c r="H48" i="5"/>
  <c r="G48" i="5"/>
  <c r="F48" i="5"/>
  <c r="E48" i="5"/>
  <c r="O48" i="5"/>
  <c r="N48" i="5"/>
  <c r="P48" i="5"/>
  <c r="P89" i="5"/>
  <c r="O35" i="5"/>
  <c r="N35" i="5"/>
  <c r="M35" i="5"/>
  <c r="L35" i="5"/>
  <c r="K35" i="5"/>
  <c r="J35" i="5"/>
  <c r="I35" i="5"/>
  <c r="H35" i="5"/>
  <c r="G35" i="5"/>
  <c r="F35" i="5"/>
  <c r="E35" i="5"/>
  <c r="D35" i="5"/>
  <c r="P35" i="5"/>
  <c r="O16" i="5"/>
  <c r="N16" i="5"/>
  <c r="M16" i="5"/>
  <c r="L16" i="5"/>
  <c r="K16" i="5"/>
  <c r="J16" i="5"/>
  <c r="I16" i="5"/>
  <c r="H16" i="5"/>
  <c r="G16" i="5"/>
  <c r="F16" i="5"/>
  <c r="E16" i="5"/>
  <c r="D16" i="5"/>
  <c r="P16" i="5"/>
  <c r="D3" i="5"/>
  <c r="O3" i="5"/>
  <c r="N3" i="5"/>
  <c r="M3" i="5"/>
  <c r="L3" i="5"/>
  <c r="K3" i="5"/>
  <c r="J3" i="5"/>
  <c r="I3" i="5"/>
  <c r="H3" i="5"/>
  <c r="G3" i="5"/>
  <c r="F3" i="5"/>
  <c r="E3" i="5"/>
  <c r="P3" i="5"/>
  <c r="P44" i="5"/>
  <c r="O89" i="5"/>
  <c r="N89" i="5"/>
  <c r="M89" i="5"/>
  <c r="L89" i="5"/>
  <c r="K89" i="5"/>
  <c r="J89" i="5"/>
  <c r="I89" i="5"/>
  <c r="H89" i="5"/>
  <c r="G89" i="5"/>
  <c r="F89" i="5"/>
  <c r="E89" i="5"/>
  <c r="D89" i="5"/>
  <c r="E44" i="5"/>
  <c r="F44" i="5"/>
  <c r="G44" i="5"/>
  <c r="H44" i="5"/>
  <c r="I44" i="5"/>
  <c r="J44" i="5"/>
  <c r="K44" i="5"/>
  <c r="L44" i="5"/>
  <c r="M44" i="5"/>
  <c r="N44" i="5"/>
  <c r="O44" i="5"/>
  <c r="D44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P86" i="5"/>
  <c r="P85" i="5"/>
  <c r="P83" i="5"/>
  <c r="P81" i="5"/>
  <c r="P64" i="5"/>
  <c r="P63" i="5"/>
  <c r="P62" i="5"/>
  <c r="P41" i="5"/>
  <c r="P40" i="5"/>
  <c r="P38" i="5"/>
  <c r="P36" i="5"/>
  <c r="P19" i="5"/>
  <c r="P18" i="5"/>
  <c r="P17" i="5"/>
</calcChain>
</file>

<file path=xl/comments1.xml><?xml version="1.0" encoding="utf-8"?>
<comments xmlns="http://schemas.openxmlformats.org/spreadsheetml/2006/main">
  <authors>
    <author>Автор</author>
  </authors>
  <commentList>
    <comment ref="D4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расходы на каждый Мб/с по действующим ценам</t>
        </r>
      </text>
    </comment>
  </commentList>
</comments>
</file>

<file path=xl/sharedStrings.xml><?xml version="1.0" encoding="utf-8"?>
<sst xmlns="http://schemas.openxmlformats.org/spreadsheetml/2006/main" count="415" uniqueCount="275">
  <si>
    <t>Фонд оплаты труда</t>
  </si>
  <si>
    <t>Блоки</t>
  </si>
  <si>
    <t xml:space="preserve">Подразделение </t>
  </si>
  <si>
    <t>АУП</t>
  </si>
  <si>
    <t>Руководство (включая Главного бухгалтера)</t>
  </si>
  <si>
    <t>Финансовая служба</t>
  </si>
  <si>
    <t>Юридическая служба</t>
  </si>
  <si>
    <t xml:space="preserve">Управление персоналом </t>
  </si>
  <si>
    <t>Связи с общественностью/органами власти</t>
  </si>
  <si>
    <t>Безопасность</t>
  </si>
  <si>
    <t>Хозяйственное обеспечение</t>
  </si>
  <si>
    <t>Секретариат, канцелярия</t>
  </si>
  <si>
    <t>Транспортная служба</t>
  </si>
  <si>
    <t>Информационные технологии</t>
  </si>
  <si>
    <t>Стратегия, планирование и развитие бизнеса</t>
  </si>
  <si>
    <t>Прочее (дать пояснение) Начальник участка</t>
  </si>
  <si>
    <t>Производство</t>
  </si>
  <si>
    <t>Подключение абонентов</t>
  </si>
  <si>
    <t>Эксплуатация. Эксплуатация линейно-кабельных сооружений</t>
  </si>
  <si>
    <t>Эксплуатация.Услуги Интернет</t>
  </si>
  <si>
    <t>Эксплуатация.Услуги ТВ</t>
  </si>
  <si>
    <t>Эксплуатация.Услуги Телефонии</t>
  </si>
  <si>
    <t>Техническая поддержка абонентов</t>
  </si>
  <si>
    <t>Снабжение производства и логистика</t>
  </si>
  <si>
    <t>Игровые проекты</t>
  </si>
  <si>
    <t>Web-проекты и хостинг</t>
  </si>
  <si>
    <t>Проекты Мультимедиа</t>
  </si>
  <si>
    <t>Производство аудио- и видеоматериалов</t>
  </si>
  <si>
    <t>Обслуживание технических средств медийного бизнеса</t>
  </si>
  <si>
    <t>Технологическое развитие</t>
  </si>
  <si>
    <t>Строительство</t>
  </si>
  <si>
    <t>Проектирование сетей и сооружений</t>
  </si>
  <si>
    <t>Телевещательный комплекс</t>
  </si>
  <si>
    <t>Прочее (дать пояснение)</t>
  </si>
  <si>
    <t>Коммерция</t>
  </si>
  <si>
    <t>Маркетинг</t>
  </si>
  <si>
    <t>Рекламная деятельность</t>
  </si>
  <si>
    <t>Продажи услуг/ Телемаркетинг</t>
  </si>
  <si>
    <t>Отдел по работе с юр. Лицами (в т. ч.ТСЖ, ЖСК)</t>
  </si>
  <si>
    <t>Телефонное обслуживание абонентов (Call Center)</t>
  </si>
  <si>
    <t>Абонентская служба (расчёты, заявления)</t>
  </si>
  <si>
    <t>Работа с вещателями/каналами. Продажа рекламы</t>
  </si>
  <si>
    <t>Итого:</t>
  </si>
  <si>
    <t>ЕСН</t>
  </si>
  <si>
    <t>Абонентская служба (расчёты, заявления …)</t>
  </si>
  <si>
    <t>Численность персонала</t>
  </si>
  <si>
    <t>Фонд Оплаты Труда по подразделениям (заработная плата и премии без налогов и прочих затрат на персонал)</t>
  </si>
  <si>
    <t>Производственные подразделения</t>
  </si>
  <si>
    <t>Коммерческие подразделения</t>
  </si>
  <si>
    <t>Административно-управленческие подразделения</t>
  </si>
  <si>
    <t>ИТОГО</t>
  </si>
  <si>
    <t>ЕСН по подразделениям</t>
  </si>
  <si>
    <t>2014 год</t>
  </si>
  <si>
    <t>Допущения, принятые при составлении бюджета проекта:</t>
  </si>
  <si>
    <t>Обслуживание абонентов будет осуществляться на базе существующего персонала головного офиса</t>
  </si>
  <si>
    <t>Территория охвата</t>
  </si>
  <si>
    <t>Проникновение ШД</t>
  </si>
  <si>
    <t>Прникновение ТВ</t>
  </si>
  <si>
    <t>Модернизация</t>
  </si>
  <si>
    <t>Постановка на баланс</t>
  </si>
  <si>
    <t>1 кв. 2014</t>
  </si>
  <si>
    <t>2 кв. 2014</t>
  </si>
  <si>
    <t>3 кв. 2014</t>
  </si>
  <si>
    <t>4 кв. 2014</t>
  </si>
  <si>
    <t>1 кв. 2015</t>
  </si>
  <si>
    <t>2 кв. 2015</t>
  </si>
  <si>
    <t>Итого</t>
  </si>
  <si>
    <t>Нет услуги интернет</t>
  </si>
  <si>
    <t>Новые дома</t>
  </si>
  <si>
    <t>Нет услуги телефонии</t>
  </si>
  <si>
    <t>Нет услуги ТВ</t>
  </si>
  <si>
    <t>Новые дома (нет сетей)</t>
  </si>
  <si>
    <t>Проникновение ШД, % от ДХ</t>
  </si>
  <si>
    <t>ARPU абонентов ШД, руб. без НДС</t>
  </si>
  <si>
    <t>темп роста абонентской базы</t>
  </si>
  <si>
    <t>темп роста доходов</t>
  </si>
  <si>
    <t>Проникновение платного ТВ, % от ДХ</t>
  </si>
  <si>
    <t>ARPU абонентов платного ТВ, руб. без НДС</t>
  </si>
  <si>
    <t>Инфляция</t>
  </si>
  <si>
    <t>ВЫРУЧКА</t>
  </si>
  <si>
    <t>ПРЯМЫЕ РАСХОДЫ, РУБЛИ</t>
  </si>
  <si>
    <t>Расходы на технологическую сеть</t>
  </si>
  <si>
    <t>Интернет</t>
  </si>
  <si>
    <t>Расходы на эксплуатацию сети</t>
  </si>
  <si>
    <t>Заработная плата и другие расходы на персонал</t>
  </si>
  <si>
    <t>Расходы на технические помещения</t>
  </si>
  <si>
    <t xml:space="preserve">Лицензионные платежи </t>
  </si>
  <si>
    <t>Страхование имущества</t>
  </si>
  <si>
    <t>Транспортные расходы</t>
  </si>
  <si>
    <t>Командировочные расходы</t>
  </si>
  <si>
    <t>Прочие расходы, относящиеся к прямым</t>
  </si>
  <si>
    <t>ИТОГО ПРЯМЫЕ РАСХОДЫ</t>
  </si>
  <si>
    <t>валовая прибыль</t>
  </si>
  <si>
    <t>валовая прибыль, %</t>
  </si>
  <si>
    <t>НАКЛАДНЫЕ РАСХОДЫ, РУБЛИ</t>
  </si>
  <si>
    <t>Расходы на офисные помещения</t>
  </si>
  <si>
    <t>Офисные расходы</t>
  </si>
  <si>
    <t>Ремонт</t>
  </si>
  <si>
    <t>Услуги связи</t>
  </si>
  <si>
    <t>Консультационные и информационные услуги</t>
  </si>
  <si>
    <t>Реклама и маркетинговые расходы</t>
  </si>
  <si>
    <t>Затраты на операционные (информационные) системы</t>
  </si>
  <si>
    <t>Комиссионные (агентские) вознаграждения</t>
  </si>
  <si>
    <t>Представительские расходы</t>
  </si>
  <si>
    <t>Банковские расходы</t>
  </si>
  <si>
    <t>Налог на имущество</t>
  </si>
  <si>
    <t>Прочие налоги</t>
  </si>
  <si>
    <t>Прочее</t>
  </si>
  <si>
    <t>ИТОГО НАКЛАДНЫЕ РАСХОДЫ</t>
  </si>
  <si>
    <t>EBITDA</t>
  </si>
  <si>
    <t>Стоимость подключения для абонентов интернет</t>
  </si>
  <si>
    <t>2014 Итог</t>
  </si>
  <si>
    <t>3 кв. 2015</t>
  </si>
  <si>
    <t>4 кв. 2015</t>
  </si>
  <si>
    <t>2015 Итог</t>
  </si>
  <si>
    <t>Бизнес план</t>
  </si>
  <si>
    <t>1 кв. 2016</t>
  </si>
  <si>
    <t>2 кв. 2016</t>
  </si>
  <si>
    <t>3 кв. 2016</t>
  </si>
  <si>
    <t>4 кв. 2016</t>
  </si>
  <si>
    <t>2016 Итог</t>
  </si>
  <si>
    <t>1 кв. 2017</t>
  </si>
  <si>
    <t>2 кв. 2017</t>
  </si>
  <si>
    <t>3 кв. 2017</t>
  </si>
  <si>
    <t>4 кв. 2017</t>
  </si>
  <si>
    <t>2017 Итог</t>
  </si>
  <si>
    <t>1 кв. 2018</t>
  </si>
  <si>
    <t>2 кв. 2018</t>
  </si>
  <si>
    <t>3 кв. 2018</t>
  </si>
  <si>
    <t>4 кв. 2018</t>
  </si>
  <si>
    <t>2018 Итог</t>
  </si>
  <si>
    <t>1 кв. 2019</t>
  </si>
  <si>
    <t>2 кв. 2019</t>
  </si>
  <si>
    <t>3 кв. 2019</t>
  </si>
  <si>
    <t>4 кв. 2019</t>
  </si>
  <si>
    <t>2019 Итог</t>
  </si>
  <si>
    <t>1 кв. 2020</t>
  </si>
  <si>
    <t>2 кв. 2020</t>
  </si>
  <si>
    <t>3 кв. 2020</t>
  </si>
  <si>
    <t>4 кв. 2020</t>
  </si>
  <si>
    <t>2020 Итог</t>
  </si>
  <si>
    <t>ТВ</t>
  </si>
  <si>
    <t>Телефония</t>
  </si>
  <si>
    <t>ARPU абонентов телефонии, руб. без НДС</t>
  </si>
  <si>
    <t>Проникновение телефонии, % от ДХ</t>
  </si>
  <si>
    <t>Доходы от абонентов платного ТВ, руб.</t>
  </si>
  <si>
    <t>Доходы от абонентов ШД,  руб.</t>
  </si>
  <si>
    <t>Доходы от абонентов телефонии, руб.</t>
  </si>
  <si>
    <t>всего ДХ</t>
  </si>
  <si>
    <t>Общее количество абонентов, ДХ</t>
  </si>
  <si>
    <t>Общее количество новых подключений, ДХ</t>
  </si>
  <si>
    <t>Отток</t>
  </si>
  <si>
    <t>Стоимость подключения для абонентов ТВ</t>
  </si>
  <si>
    <t>Стоимость подключения для абонентов телефонии</t>
  </si>
  <si>
    <t>внешний канал Мб/с</t>
  </si>
  <si>
    <t>Общее количество абонентов,  ДХ</t>
  </si>
  <si>
    <t>ИТОГО САРЕХ, без НДС</t>
  </si>
  <si>
    <t>Строительно-монтажные работы</t>
  </si>
  <si>
    <t>Мероприятия СОРМ</t>
  </si>
  <si>
    <t>ИТОГО оборудование и материалы, с НДС</t>
  </si>
  <si>
    <t>Резерв</t>
  </si>
  <si>
    <t xml:space="preserve">Стоимость проектирования. </t>
  </si>
  <si>
    <t>Строительство канала</t>
  </si>
  <si>
    <t>Строительство ВОЛС</t>
  </si>
  <si>
    <t>стоимость единицы</t>
  </si>
  <si>
    <t>Кол-во</t>
  </si>
  <si>
    <t>Цена 
(с НДС)</t>
  </si>
  <si>
    <t>Марка</t>
  </si>
  <si>
    <t>Наименование</t>
  </si>
  <si>
    <t>Кол-во узлов</t>
  </si>
  <si>
    <t>Домов</t>
  </si>
  <si>
    <t>Курс доллара США, руб/$</t>
  </si>
  <si>
    <t>Перечень необходимого оборудования (с НДС)</t>
  </si>
  <si>
    <t>Строительство ДРС КТВ</t>
  </si>
  <si>
    <t>6 месяцев</t>
  </si>
  <si>
    <t>Срок реализации проекта</t>
  </si>
  <si>
    <t>Начало проекта</t>
  </si>
  <si>
    <t xml:space="preserve">Срок строительства </t>
  </si>
  <si>
    <t>Стоимость на 1 абонента</t>
  </si>
  <si>
    <t>Terminal year</t>
  </si>
  <si>
    <t>Выручка</t>
  </si>
  <si>
    <t>Амортизация</t>
  </si>
  <si>
    <t>EBIT x (1 - Налог на прибыль)</t>
  </si>
  <si>
    <t>Капитальные затраты</t>
  </si>
  <si>
    <t>Денежный поток</t>
  </si>
  <si>
    <t>Период дисконтирования</t>
  </si>
  <si>
    <t>Фактор дисконтирования</t>
  </si>
  <si>
    <t>Дисконтированный денежный поток</t>
  </si>
  <si>
    <t>Недисконтированный денежный поток</t>
  </si>
  <si>
    <t>NPV=</t>
  </si>
  <si>
    <t xml:space="preserve">     при ставке дисконтирования   = </t>
  </si>
  <si>
    <t>IRR=</t>
  </si>
  <si>
    <t>Срок окупаемости недисконтированный</t>
  </si>
  <si>
    <t>Io=</t>
  </si>
  <si>
    <t>Срок окупаемости дисконтированный</t>
  </si>
  <si>
    <t>Постпрогнозная стоимость</t>
  </si>
  <si>
    <t>Темп роста</t>
  </si>
  <si>
    <t>Ставка капитализации</t>
  </si>
  <si>
    <t>Сумма ДДП</t>
  </si>
  <si>
    <t>Сумма НДДП</t>
  </si>
  <si>
    <t>Дисконтированная постпрогнозная стоимость</t>
  </si>
  <si>
    <t>Справедливая стоимость</t>
  </si>
  <si>
    <t>Расчет окупаемости проекта</t>
  </si>
  <si>
    <t>CAPEX</t>
  </si>
  <si>
    <t>VoIP ATA для абонентов телефонии</t>
  </si>
  <si>
    <t>SetTopBox для абонентов ТВ</t>
  </si>
  <si>
    <t>Стоимость материалов для подключения</t>
  </si>
  <si>
    <t>Стоимость абонентского оборудования ШПД</t>
  </si>
  <si>
    <t>1 год</t>
  </si>
  <si>
    <t>Подключение абонентов и продажа услуг в период строительства будут осуществляться на базе существующего персонала головного офиса</t>
  </si>
  <si>
    <t>Сети на базе технологий Ethernet и PON предполагают наличие только 2-х услуг: ТВ (на базе IPTV) и интернет</t>
  </si>
  <si>
    <t>Строим сеть с охватом в двух случаях:</t>
  </si>
  <si>
    <t>50% охват (для плановых 20% проникновения)</t>
  </si>
  <si>
    <t>100% охват (для планового 80% проникновения)</t>
  </si>
  <si>
    <t>CF_Д</t>
  </si>
  <si>
    <t>CF_НД</t>
  </si>
  <si>
    <t>Производитель</t>
  </si>
  <si>
    <t>Кабель оптический Alpha Mile Микро ADSS, 08 волокон</t>
  </si>
  <si>
    <t>601-02-08</t>
  </si>
  <si>
    <t>Alpha Mile</t>
  </si>
  <si>
    <t>Кабель оптический Alpha Mile Микро ADSS, 06 волокон</t>
  </si>
  <si>
    <t>601-02-06</t>
  </si>
  <si>
    <t>Кабель оптический Alpha Mile Микро ADSS, 04 волокна</t>
  </si>
  <si>
    <t>601-02-04</t>
  </si>
  <si>
    <t>Кабель оптический Alpha Mile Микро ADSS, 02 волокна</t>
  </si>
  <si>
    <t>601-02-02</t>
  </si>
  <si>
    <t>Узел крепления натяжной Alpha Mile</t>
  </si>
  <si>
    <t>801-02-01</t>
  </si>
  <si>
    <t>Зажим анкерный клиновой Alpha Mile 806-01-35 (малый, пластиковый)</t>
  </si>
  <si>
    <t>806-01-35</t>
  </si>
  <si>
    <t>Коробка распределительная оптическая SNR-FTTH-FDB-16</t>
  </si>
  <si>
    <t>SNR-FTTH-FDB-16</t>
  </si>
  <si>
    <t>SNR</t>
  </si>
  <si>
    <t>Делитель оптический планарный SNR-PLC-M-1x8-SC/APC</t>
  </si>
  <si>
    <t>SNR-PLC-M-1x8-SC/APC</t>
  </si>
  <si>
    <t>Шнур монтажный оптический SC/APC SM 3м</t>
  </si>
  <si>
    <t>SNR-PC-SC/APC-3m(0,9)</t>
  </si>
  <si>
    <t>Адаптер проходной симплексный Adp SC/APC-SC/APC</t>
  </si>
  <si>
    <t>SNR-ADP-SC/APC SM</t>
  </si>
  <si>
    <t>Лента монтажная нержавеющая С201, 20x0.7 мм (кассета 50м)</t>
  </si>
  <si>
    <t>SNR-SB207.201</t>
  </si>
  <si>
    <t>Скрепа монтажная НС-20-Т (100 шт.)</t>
  </si>
  <si>
    <t>SNR-HC-20-T</t>
  </si>
  <si>
    <t>Кросс оптический 19" (ШКОС), до 24 портов</t>
  </si>
  <si>
    <t>SNR-ODF-24R-L</t>
  </si>
  <si>
    <t>Сплайс-кассета универсальная FT-U-01</t>
  </si>
  <si>
    <t>FT-U-01</t>
  </si>
  <si>
    <t>Крышка прозрачная для сплайс-кассеты универсальной FT-U-01</t>
  </si>
  <si>
    <t>FT-U-01-CVR</t>
  </si>
  <si>
    <t>Патчкорд оптический SC/APC SM 1метр</t>
  </si>
  <si>
    <t>SNR-PC-SC/APC-1m</t>
  </si>
  <si>
    <t>-</t>
  </si>
  <si>
    <t>Строительство ШПД</t>
  </si>
  <si>
    <t>Термошкаф 15U с кондиционером</t>
  </si>
  <si>
    <t>Источник бесперебойного питания on-line, 2000 VA серии MX без АКБ</t>
  </si>
  <si>
    <t>SNR-UPS-ONRT-2-MX</t>
  </si>
  <si>
    <t>Аккумуляторная батарея SNR-BAT-12-55 для ИБП</t>
  </si>
  <si>
    <t>SNR-BAT-12-55</t>
  </si>
  <si>
    <t>Панель 19" с DIN-рейкой 3U</t>
  </si>
  <si>
    <t>SNR-PDR-19</t>
  </si>
  <si>
    <t>Автоматический выключатель Tesla Power 1Р 16А 4,5 кА х-ка С</t>
  </si>
  <si>
    <t>631C16</t>
  </si>
  <si>
    <t>Tesla Power</t>
  </si>
  <si>
    <t>Розетка с заземляющим контактом РАр10-3-ОП</t>
  </si>
  <si>
    <t>MRD10-16</t>
  </si>
  <si>
    <t>Счетчик электроэнергии НЕВА MT 123 AS E4P 5(60)А рег.72 (дин-рейка)</t>
  </si>
  <si>
    <t>MT-123-E4P-72</t>
  </si>
  <si>
    <t>НЕВА</t>
  </si>
  <si>
    <t>Станционный терминал OLT с 4 портами GEPON, 6GE, 2*AC</t>
  </si>
  <si>
    <t>P3310B-2AC</t>
  </si>
  <si>
    <t>BDCOM</t>
  </si>
  <si>
    <t>Абонентский терминал ONU GEPON, 4 порта 10/100BASE-TX</t>
  </si>
  <si>
    <t>P1004C1</t>
  </si>
  <si>
    <t>Модуль SFP WDM GEPON, дальность до 20км (33dB), Tx/Rx: 1490/1310нм</t>
  </si>
  <si>
    <t>SNR-SFP-W43-GEPON-20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</si>
</sst>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;\(#,##0\)"/>
    <numFmt numFmtId="166" formatCode="0.0"/>
    <numFmt numFmtId="167" formatCode="#,##0&quot;р.&quot;"/>
    <numFmt numFmtId="168" formatCode="0.0%"/>
    <numFmt numFmtId="169" formatCode="_-* #,##0_р_._-;\-* #,##0_р_._-;_-* &quot;-&quot;??_р_._-;_-@_-"/>
    <numFmt numFmtId="170" formatCode="#,##0\ &quot;руб.&quot;"/>
    <numFmt numFmtId="171" formatCode="[$$-409]#,##0"/>
    <numFmt numFmtId="172" formatCode="_-* #,##0_)_-;\-* \(#,##0\)_-;_-* &quot;-&quot;_)_-;_-@_-"/>
    <numFmt numFmtId="173" formatCode="_-* #,##0.00_)_-;\-* \(#,##0.00\)_-;_-* &quot;-&quot;_)_-;_-@_-"/>
    <numFmt numFmtId="174" formatCode="_-* #,##0.0_)_-;\-* \(#,##0.0\)_-;_-* &quot;-&quot;_)_-;_-@_-"/>
    <numFmt numFmtId="175" formatCode="_-* #,##0.00&quot;р.&quot;_-;\-* #,##0.00&quot;р.&quot;_-;_-* &quot;-&quot;??&quot;р.&quot;_-;_-@_-"/>
  </numFmts>
  <fonts count="82" x14ac:knownFonts="1">
    <font>
      <sz val="12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9"/>
      <color indexed="8"/>
      <name val="Arial Cyr"/>
      <charset val="204"/>
    </font>
    <font>
      <sz val="12"/>
      <name val="Times New Roman"/>
      <family val="1"/>
    </font>
    <font>
      <b/>
      <sz val="8"/>
      <name val="Arial Cyr"/>
      <charset val="204"/>
    </font>
    <font>
      <b/>
      <i/>
      <sz val="8"/>
      <color indexed="10"/>
      <name val="Arial cyr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  <charset val="204"/>
    </font>
    <font>
      <sz val="14"/>
      <color theme="4"/>
      <name val="Arial cyr"/>
      <charset val="204"/>
    </font>
    <font>
      <b/>
      <sz val="9"/>
      <color theme="0"/>
      <name val="Arial Cyr"/>
      <charset val="204"/>
    </font>
    <font>
      <sz val="9"/>
      <color theme="0"/>
      <name val="Arial Cyr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b/>
      <sz val="10"/>
      <color theme="0"/>
      <name val="Arial Cyr"/>
      <charset val="204"/>
    </font>
    <font>
      <sz val="10"/>
      <color theme="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ahoma"/>
      <family val="2"/>
    </font>
    <font>
      <sz val="10"/>
      <name val="Tahoma"/>
      <family val="2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0"/>
      <name val="Arial"/>
    </font>
    <font>
      <sz val="10"/>
      <color theme="0"/>
      <name val="Arial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3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9"/>
      <color indexed="9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theme="3"/>
      <name val="Calibri"/>
      <scheme val="minor"/>
    </font>
    <font>
      <b/>
      <sz val="10"/>
      <color theme="3"/>
      <name val="Calibri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rgb="FF1F497D"/>
      <name val="Calibri"/>
      <scheme val="minor"/>
    </font>
    <font>
      <b/>
      <sz val="10"/>
      <color rgb="FFFF0000"/>
      <name val="Calibri"/>
      <scheme val="minor"/>
    </font>
    <font>
      <b/>
      <i/>
      <sz val="8"/>
      <color rgb="FFFF0000"/>
      <name val="Calibri"/>
      <scheme val="minor"/>
    </font>
    <font>
      <b/>
      <i/>
      <sz val="8"/>
      <name val="Calibri"/>
      <scheme val="minor"/>
    </font>
    <font>
      <b/>
      <sz val="9"/>
      <name val="Calibri"/>
      <scheme val="minor"/>
    </font>
    <font>
      <b/>
      <i/>
      <sz val="9"/>
      <name val="Calibri"/>
      <scheme val="minor"/>
    </font>
    <font>
      <b/>
      <sz val="8"/>
      <name val="Calibri"/>
      <scheme val="minor"/>
    </font>
    <font>
      <b/>
      <sz val="11"/>
      <color rgb="FFFF0000"/>
      <name val="Calibri"/>
      <scheme val="minor"/>
    </font>
    <font>
      <b/>
      <sz val="9"/>
      <color rgb="FFFF0000"/>
      <name val="Calibri"/>
      <scheme val="minor"/>
    </font>
    <font>
      <i/>
      <sz val="8"/>
      <color rgb="FFFF0000"/>
      <name val="Calibri"/>
      <scheme val="minor"/>
    </font>
    <font>
      <b/>
      <i/>
      <sz val="9"/>
      <color rgb="FFFF0000"/>
      <name val="Calibri"/>
      <scheme val="minor"/>
    </font>
    <font>
      <sz val="9"/>
      <color rgb="FFFF0000"/>
      <name val="Calibri"/>
      <scheme val="minor"/>
    </font>
    <font>
      <sz val="10"/>
      <color rgb="FFFF0000"/>
      <name val="Calibri"/>
      <scheme val="minor"/>
    </font>
    <font>
      <i/>
      <sz val="9"/>
      <color rgb="FFFF0000"/>
      <name val="Calibri"/>
      <scheme val="minor"/>
    </font>
    <font>
      <sz val="10"/>
      <color theme="0"/>
      <name val="Calibri"/>
      <scheme val="minor"/>
    </font>
    <font>
      <b/>
      <sz val="10"/>
      <color theme="0"/>
      <name val="Calibri"/>
      <scheme val="minor"/>
    </font>
    <font>
      <b/>
      <sz val="14"/>
      <color theme="0"/>
      <name val="Calibri"/>
      <scheme val="minor"/>
    </font>
    <font>
      <b/>
      <u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indexed="9"/>
      <name val="Arial"/>
      <family val="2"/>
      <charset val="204"/>
    </font>
    <font>
      <b/>
      <sz val="10"/>
      <color indexed="9"/>
      <name val="Arial Narrow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color theme="4"/>
      <name val="Calibri"/>
      <scheme val="minor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6"/>
      <color theme="3"/>
      <name val="Calibri"/>
      <scheme val="minor"/>
    </font>
    <font>
      <sz val="10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u/>
      <sz val="12"/>
      <color theme="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17">
    <xf numFmtId="0" fontId="0" fillId="0" borderId="0"/>
    <xf numFmtId="0" fontId="2" fillId="0" borderId="0"/>
    <xf numFmtId="0" fontId="4" fillId="0" borderId="0"/>
    <xf numFmtId="0" fontId="6" fillId="0" borderId="0"/>
    <xf numFmtId="0" fontId="9" fillId="0" borderId="0"/>
    <xf numFmtId="165" fontId="10" fillId="0" borderId="0">
      <alignment horizontal="right" vertical="top"/>
    </xf>
    <xf numFmtId="39" fontId="10" fillId="0" borderId="0">
      <alignment horizontal="right" vertical="top"/>
    </xf>
    <xf numFmtId="0" fontId="11" fillId="0" borderId="0" applyFill="0" applyBorder="0">
      <alignment horizontal="left" vertical="top" wrapText="1"/>
    </xf>
    <xf numFmtId="10" fontId="12" fillId="0" borderId="0">
      <alignment vertical="center"/>
    </xf>
    <xf numFmtId="165" fontId="13" fillId="0" borderId="0">
      <alignment horizontal="right" vertical="top"/>
    </xf>
    <xf numFmtId="39" fontId="13" fillId="0" borderId="0">
      <alignment horizontal="right" vertical="top"/>
    </xf>
    <xf numFmtId="0" fontId="9" fillId="0" borderId="0"/>
    <xf numFmtId="0" fontId="9" fillId="0" borderId="0"/>
    <xf numFmtId="0" fontId="11" fillId="0" borderId="0">
      <alignment horizontal="left" vertical="top" wrapText="1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82">
    <xf numFmtId="0" fontId="0" fillId="0" borderId="0" xfId="0"/>
    <xf numFmtId="0" fontId="3" fillId="2" borderId="0" xfId="1" applyFont="1" applyFill="1"/>
    <xf numFmtId="0" fontId="3" fillId="2" borderId="0" xfId="1" applyFont="1" applyFill="1" applyBorder="1"/>
    <xf numFmtId="0" fontId="3" fillId="2" borderId="0" xfId="1" applyFont="1" applyFill="1" applyAlignment="1">
      <alignment horizontal="center"/>
    </xf>
    <xf numFmtId="0" fontId="4" fillId="0" borderId="0" xfId="2"/>
    <xf numFmtId="0" fontId="3" fillId="2" borderId="6" xfId="1" applyFont="1" applyFill="1" applyBorder="1" applyAlignment="1">
      <alignment horizontal="left" indent="2"/>
    </xf>
    <xf numFmtId="3" fontId="3" fillId="2" borderId="6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3" fontId="3" fillId="2" borderId="8" xfId="1" applyNumberFormat="1" applyFont="1" applyFill="1" applyBorder="1" applyAlignment="1">
      <alignment horizontal="center"/>
    </xf>
    <xf numFmtId="0" fontId="5" fillId="2" borderId="0" xfId="1" applyFont="1" applyFill="1" applyBorder="1"/>
    <xf numFmtId="0" fontId="3" fillId="0" borderId="9" xfId="1" applyFont="1" applyFill="1" applyBorder="1" applyAlignment="1">
      <alignment horizontal="left" indent="2"/>
    </xf>
    <xf numFmtId="3" fontId="3" fillId="2" borderId="9" xfId="1" applyNumberFormat="1" applyFont="1" applyFill="1" applyBorder="1" applyAlignment="1">
      <alignment horizontal="center"/>
    </xf>
    <xf numFmtId="3" fontId="3" fillId="2" borderId="10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left" indent="2"/>
    </xf>
    <xf numFmtId="3" fontId="3" fillId="2" borderId="12" xfId="1" applyNumberFormat="1" applyFont="1" applyFill="1" applyBorder="1" applyAlignment="1">
      <alignment horizontal="center"/>
    </xf>
    <xf numFmtId="3" fontId="3" fillId="2" borderId="13" xfId="1" applyNumberFormat="1" applyFont="1" applyFill="1" applyBorder="1" applyAlignment="1">
      <alignment horizontal="center"/>
    </xf>
    <xf numFmtId="3" fontId="3" fillId="2" borderId="14" xfId="1" applyNumberFormat="1" applyFont="1" applyFill="1" applyBorder="1" applyAlignment="1">
      <alignment horizontal="center"/>
    </xf>
    <xf numFmtId="0" fontId="5" fillId="2" borderId="0" xfId="1" applyFont="1" applyFill="1"/>
    <xf numFmtId="3" fontId="3" fillId="2" borderId="15" xfId="1" applyNumberFormat="1" applyFont="1" applyFill="1" applyBorder="1" applyAlignment="1">
      <alignment horizontal="center"/>
    </xf>
    <xf numFmtId="0" fontId="3" fillId="2" borderId="0" xfId="2" applyFont="1" applyFill="1"/>
    <xf numFmtId="0" fontId="3" fillId="2" borderId="20" xfId="2" applyFont="1" applyFill="1" applyBorder="1" applyAlignment="1">
      <alignment vertical="top" wrapText="1"/>
    </xf>
    <xf numFmtId="3" fontId="3" fillId="2" borderId="21" xfId="2" applyNumberFormat="1" applyFont="1" applyFill="1" applyBorder="1" applyAlignment="1">
      <alignment vertical="top" wrapText="1"/>
    </xf>
    <xf numFmtId="3" fontId="3" fillId="2" borderId="22" xfId="2" applyNumberFormat="1" applyFont="1" applyFill="1" applyBorder="1" applyAlignment="1">
      <alignment vertical="top" wrapText="1"/>
    </xf>
    <xf numFmtId="0" fontId="3" fillId="2" borderId="23" xfId="2" applyFont="1" applyFill="1" applyBorder="1" applyAlignment="1">
      <alignment vertical="top" wrapText="1"/>
    </xf>
    <xf numFmtId="3" fontId="3" fillId="2" borderId="24" xfId="2" applyNumberFormat="1" applyFont="1" applyFill="1" applyBorder="1" applyAlignment="1">
      <alignment vertical="top" wrapText="1"/>
    </xf>
    <xf numFmtId="3" fontId="3" fillId="2" borderId="0" xfId="2" applyNumberFormat="1" applyFont="1" applyFill="1" applyBorder="1" applyAlignment="1">
      <alignment vertical="top" wrapText="1"/>
    </xf>
    <xf numFmtId="3" fontId="3" fillId="2" borderId="25" xfId="2" applyNumberFormat="1" applyFont="1" applyFill="1" applyBorder="1" applyAlignment="1">
      <alignment vertical="top" wrapText="1"/>
    </xf>
    <xf numFmtId="0" fontId="3" fillId="2" borderId="26" xfId="2" applyFont="1" applyFill="1" applyBorder="1" applyAlignment="1">
      <alignment vertical="top" wrapText="1"/>
    </xf>
    <xf numFmtId="0" fontId="3" fillId="2" borderId="27" xfId="2" applyFont="1" applyFill="1" applyBorder="1" applyAlignment="1">
      <alignment vertical="top" wrapText="1"/>
    </xf>
    <xf numFmtId="0" fontId="3" fillId="2" borderId="28" xfId="2" applyFont="1" applyFill="1" applyBorder="1" applyAlignment="1">
      <alignment vertical="top" wrapText="1"/>
    </xf>
    <xf numFmtId="0" fontId="7" fillId="2" borderId="0" xfId="3" applyFont="1" applyFill="1" applyBorder="1"/>
    <xf numFmtId="0" fontId="7" fillId="2" borderId="0" xfId="3" applyFont="1" applyFill="1" applyAlignment="1">
      <alignment vertical="center" wrapText="1"/>
    </xf>
    <xf numFmtId="3" fontId="8" fillId="2" borderId="0" xfId="3" applyNumberFormat="1" applyFont="1" applyFill="1"/>
    <xf numFmtId="3" fontId="3" fillId="2" borderId="29" xfId="2" applyNumberFormat="1" applyFont="1" applyFill="1" applyBorder="1" applyAlignment="1">
      <alignment vertical="top" wrapText="1"/>
    </xf>
    <xf numFmtId="0" fontId="14" fillId="2" borderId="0" xfId="1" applyFont="1" applyFill="1" applyBorder="1"/>
    <xf numFmtId="0" fontId="15" fillId="4" borderId="17" xfId="1" applyFont="1" applyFill="1" applyBorder="1"/>
    <xf numFmtId="0" fontId="15" fillId="0" borderId="2" xfId="1" applyFont="1" applyFill="1" applyBorder="1"/>
    <xf numFmtId="0" fontId="3" fillId="3" borderId="1" xfId="1" applyFont="1" applyFill="1" applyBorder="1" applyAlignment="1">
      <alignment horizontal="center" vertical="center"/>
    </xf>
    <xf numFmtId="3" fontId="19" fillId="2" borderId="8" xfId="1" applyNumberFormat="1" applyFont="1" applyFill="1" applyBorder="1" applyAlignment="1">
      <alignment horizontal="center"/>
    </xf>
    <xf numFmtId="14" fontId="16" fillId="4" borderId="19" xfId="1" applyNumberFormat="1" applyFont="1" applyFill="1" applyBorder="1" applyAlignment="1">
      <alignment horizontal="center"/>
    </xf>
    <xf numFmtId="0" fontId="16" fillId="4" borderId="30" xfId="1" applyFont="1" applyFill="1" applyBorder="1"/>
    <xf numFmtId="3" fontId="19" fillId="2" borderId="32" xfId="1" applyNumberFormat="1" applyFont="1" applyFill="1" applyBorder="1" applyAlignment="1">
      <alignment horizontal="center"/>
    </xf>
    <xf numFmtId="14" fontId="16" fillId="4" borderId="16" xfId="1" applyNumberFormat="1" applyFont="1" applyFill="1" applyBorder="1" applyAlignment="1">
      <alignment horizontal="center"/>
    </xf>
    <xf numFmtId="14" fontId="16" fillId="4" borderId="17" xfId="1" applyNumberFormat="1" applyFont="1" applyFill="1" applyBorder="1" applyAlignment="1">
      <alignment horizontal="center"/>
    </xf>
    <xf numFmtId="14" fontId="16" fillId="4" borderId="33" xfId="1" applyNumberFormat="1" applyFont="1" applyFill="1" applyBorder="1" applyAlignment="1">
      <alignment horizontal="center"/>
    </xf>
    <xf numFmtId="0" fontId="15" fillId="0" borderId="30" xfId="1" applyFont="1" applyFill="1" applyBorder="1"/>
    <xf numFmtId="0" fontId="3" fillId="2" borderId="7" xfId="1" applyFont="1" applyFill="1" applyBorder="1" applyAlignment="1">
      <alignment horizontal="left" indent="2"/>
    </xf>
    <xf numFmtId="3" fontId="19" fillId="2" borderId="34" xfId="1" applyNumberFormat="1" applyFont="1" applyFill="1" applyBorder="1" applyAlignment="1">
      <alignment horizontal="center"/>
    </xf>
    <xf numFmtId="3" fontId="19" fillId="2" borderId="3" xfId="1" applyNumberFormat="1" applyFont="1" applyFill="1" applyBorder="1" applyAlignment="1">
      <alignment horizontal="center"/>
    </xf>
    <xf numFmtId="3" fontId="19" fillId="2" borderId="35" xfId="1" applyNumberFormat="1" applyFont="1" applyFill="1" applyBorder="1" applyAlignment="1">
      <alignment horizontal="center"/>
    </xf>
    <xf numFmtId="3" fontId="3" fillId="2" borderId="36" xfId="1" applyNumberFormat="1" applyFont="1" applyFill="1" applyBorder="1" applyAlignment="1">
      <alignment horizontal="center"/>
    </xf>
    <xf numFmtId="3" fontId="3" fillId="2" borderId="37" xfId="1" applyNumberFormat="1" applyFont="1" applyFill="1" applyBorder="1" applyAlignment="1">
      <alignment horizontal="center"/>
    </xf>
    <xf numFmtId="3" fontId="3" fillId="2" borderId="38" xfId="1" applyNumberFormat="1" applyFont="1" applyFill="1" applyBorder="1" applyAlignment="1">
      <alignment horizontal="center"/>
    </xf>
    <xf numFmtId="3" fontId="3" fillId="2" borderId="39" xfId="1" applyNumberFormat="1" applyFont="1" applyFill="1" applyBorder="1" applyAlignment="1">
      <alignment horizontal="center"/>
    </xf>
    <xf numFmtId="3" fontId="3" fillId="2" borderId="40" xfId="1" applyNumberFormat="1" applyFont="1" applyFill="1" applyBorder="1" applyAlignment="1">
      <alignment horizontal="center"/>
    </xf>
    <xf numFmtId="3" fontId="19" fillId="2" borderId="4" xfId="1" applyNumberFormat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15" fillId="4" borderId="1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4" fillId="0" borderId="0" xfId="2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left" indent="2"/>
    </xf>
    <xf numFmtId="0" fontId="20" fillId="2" borderId="0" xfId="1" applyFont="1" applyFill="1"/>
    <xf numFmtId="0" fontId="21" fillId="4" borderId="16" xfId="1" applyFont="1" applyFill="1" applyBorder="1" applyAlignment="1">
      <alignment horizontal="center" vertical="center"/>
    </xf>
    <xf numFmtId="0" fontId="22" fillId="4" borderId="17" xfId="1" applyFont="1" applyFill="1" applyBorder="1"/>
    <xf numFmtId="3" fontId="22" fillId="4" borderId="17" xfId="1" applyNumberFormat="1" applyFont="1" applyFill="1" applyBorder="1" applyAlignment="1">
      <alignment horizontal="center"/>
    </xf>
    <xf numFmtId="0" fontId="23" fillId="0" borderId="0" xfId="2" applyFont="1"/>
    <xf numFmtId="0" fontId="25" fillId="0" borderId="0" xfId="86" applyFont="1"/>
    <xf numFmtId="0" fontId="26" fillId="0" borderId="0" xfId="86" applyFont="1"/>
    <xf numFmtId="0" fontId="28" fillId="0" borderId="0" xfId="2" applyFont="1"/>
    <xf numFmtId="0" fontId="28" fillId="5" borderId="0" xfId="2" applyFont="1" applyFill="1"/>
    <xf numFmtId="3" fontId="28" fillId="0" borderId="0" xfId="2" applyNumberFormat="1" applyFont="1"/>
    <xf numFmtId="0" fontId="28" fillId="6" borderId="0" xfId="2" applyFont="1" applyFill="1"/>
    <xf numFmtId="0" fontId="28" fillId="7" borderId="0" xfId="2" applyFont="1" applyFill="1"/>
    <xf numFmtId="0" fontId="28" fillId="8" borderId="0" xfId="2" applyFont="1" applyFill="1"/>
    <xf numFmtId="0" fontId="28" fillId="0" borderId="44" xfId="2" applyFont="1" applyBorder="1"/>
    <xf numFmtId="9" fontId="28" fillId="0" borderId="45" xfId="2" applyNumberFormat="1" applyFont="1" applyBorder="1"/>
    <xf numFmtId="0" fontId="28" fillId="0" borderId="45" xfId="2" applyFont="1" applyBorder="1"/>
    <xf numFmtId="3" fontId="27" fillId="0" borderId="0" xfId="2" applyNumberFormat="1" applyFont="1"/>
    <xf numFmtId="9" fontId="28" fillId="0" borderId="46" xfId="2" applyNumberFormat="1" applyFont="1" applyBorder="1"/>
    <xf numFmtId="3" fontId="28" fillId="0" borderId="47" xfId="2" applyNumberFormat="1" applyFont="1" applyBorder="1"/>
    <xf numFmtId="0" fontId="28" fillId="0" borderId="47" xfId="2" applyFont="1" applyBorder="1"/>
    <xf numFmtId="0" fontId="28" fillId="0" borderId="0" xfId="2" applyFont="1" applyAlignment="1">
      <alignment horizontal="right"/>
    </xf>
    <xf numFmtId="9" fontId="28" fillId="0" borderId="0" xfId="2" applyNumberFormat="1" applyFont="1"/>
    <xf numFmtId="0" fontId="29" fillId="9" borderId="0" xfId="2" applyFont="1" applyFill="1" applyAlignment="1">
      <alignment horizontal="center" vertical="center"/>
    </xf>
    <xf numFmtId="0" fontId="30" fillId="9" borderId="0" xfId="2" applyFont="1" applyFill="1"/>
    <xf numFmtId="0" fontId="27" fillId="0" borderId="0" xfId="2" applyFont="1" applyAlignment="1">
      <alignment horizontal="right"/>
    </xf>
    <xf numFmtId="3" fontId="28" fillId="0" borderId="0" xfId="2" applyNumberFormat="1" applyFont="1" applyAlignment="1">
      <alignment horizontal="right"/>
    </xf>
    <xf numFmtId="0" fontId="31" fillId="2" borderId="0" xfId="2" applyFont="1" applyFill="1"/>
    <xf numFmtId="0" fontId="33" fillId="2" borderId="0" xfId="2" applyFont="1" applyFill="1"/>
    <xf numFmtId="0" fontId="37" fillId="2" borderId="0" xfId="2" applyFont="1" applyFill="1" applyAlignment="1">
      <alignment wrapText="1"/>
    </xf>
    <xf numFmtId="164" fontId="37" fillId="2" borderId="0" xfId="95" applyFont="1" applyFill="1"/>
    <xf numFmtId="166" fontId="37" fillId="2" borderId="0" xfId="2" applyNumberFormat="1" applyFont="1" applyFill="1" applyBorder="1"/>
    <xf numFmtId="9" fontId="33" fillId="2" borderId="0" xfId="2" applyNumberFormat="1" applyFont="1" applyFill="1"/>
    <xf numFmtId="3" fontId="33" fillId="2" borderId="0" xfId="2" applyNumberFormat="1" applyFont="1" applyFill="1"/>
    <xf numFmtId="0" fontId="33" fillId="2" borderId="0" xfId="2" applyFont="1" applyFill="1" applyAlignment="1">
      <alignment horizontal="left" indent="1"/>
    </xf>
    <xf numFmtId="3" fontId="39" fillId="10" borderId="0" xfId="2" applyNumberFormat="1" applyFont="1" applyFill="1"/>
    <xf numFmtId="0" fontId="40" fillId="2" borderId="0" xfId="2" applyFont="1" applyFill="1" applyAlignment="1">
      <alignment horizontal="left" indent="3"/>
    </xf>
    <xf numFmtId="167" fontId="40" fillId="0" borderId="0" xfId="2" applyNumberFormat="1" applyFont="1" applyFill="1"/>
    <xf numFmtId="3" fontId="33" fillId="2" borderId="0" xfId="95" applyNumberFormat="1" applyFont="1" applyFill="1"/>
    <xf numFmtId="3" fontId="38" fillId="2" borderId="0" xfId="95" applyNumberFormat="1" applyFont="1" applyFill="1"/>
    <xf numFmtId="167" fontId="33" fillId="2" borderId="0" xfId="2" applyNumberFormat="1" applyFont="1" applyFill="1"/>
    <xf numFmtId="3" fontId="40" fillId="2" borderId="0" xfId="2" applyNumberFormat="1" applyFont="1" applyFill="1"/>
    <xf numFmtId="3" fontId="33" fillId="0" borderId="0" xfId="2" applyNumberFormat="1" applyFont="1" applyFill="1"/>
    <xf numFmtId="0" fontId="38" fillId="2" borderId="0" xfId="2" applyFont="1" applyFill="1" applyAlignment="1">
      <alignment horizontal="left" indent="1"/>
    </xf>
    <xf numFmtId="3" fontId="38" fillId="2" borderId="0" xfId="2" applyNumberFormat="1" applyFont="1" applyFill="1"/>
    <xf numFmtId="0" fontId="41" fillId="2" borderId="0" xfId="2" applyFont="1" applyFill="1"/>
    <xf numFmtId="0" fontId="42" fillId="2" borderId="0" xfId="2" applyFont="1" applyFill="1"/>
    <xf numFmtId="0" fontId="41" fillId="2" borderId="0" xfId="2" applyFont="1" applyFill="1" applyAlignment="1">
      <alignment horizontal="left" indent="2"/>
    </xf>
    <xf numFmtId="167" fontId="41" fillId="2" borderId="0" xfId="2" applyNumberFormat="1" applyFont="1" applyFill="1"/>
    <xf numFmtId="3" fontId="41" fillId="2" borderId="0" xfId="2" applyNumberFormat="1" applyFont="1" applyFill="1"/>
    <xf numFmtId="9" fontId="41" fillId="2" borderId="0" xfId="96" applyFont="1" applyFill="1"/>
    <xf numFmtId="0" fontId="33" fillId="2" borderId="0" xfId="2" applyFont="1" applyFill="1" applyAlignment="1">
      <alignment horizontal="left" indent="2"/>
    </xf>
    <xf numFmtId="9" fontId="40" fillId="2" borderId="0" xfId="96" applyFont="1" applyFill="1"/>
    <xf numFmtId="168" fontId="40" fillId="2" borderId="0" xfId="96" applyNumberFormat="1" applyFont="1" applyFill="1"/>
    <xf numFmtId="9" fontId="33" fillId="2" borderId="0" xfId="96" applyFont="1" applyFill="1"/>
    <xf numFmtId="0" fontId="38" fillId="2" borderId="0" xfId="2" applyFont="1" applyFill="1"/>
    <xf numFmtId="0" fontId="33" fillId="9" borderId="0" xfId="2" applyFont="1" applyFill="1"/>
    <xf numFmtId="0" fontId="31" fillId="9" borderId="0" xfId="2" applyFont="1" applyFill="1"/>
    <xf numFmtId="0" fontId="34" fillId="9" borderId="0" xfId="2" applyFont="1" applyFill="1" applyAlignment="1">
      <alignment horizontal="right"/>
    </xf>
    <xf numFmtId="0" fontId="32" fillId="9" borderId="0" xfId="2" applyFont="1" applyFill="1" applyAlignment="1">
      <alignment horizontal="right"/>
    </xf>
    <xf numFmtId="3" fontId="32" fillId="9" borderId="0" xfId="2" applyNumberFormat="1" applyFont="1" applyFill="1" applyAlignment="1">
      <alignment horizontal="right"/>
    </xf>
    <xf numFmtId="0" fontId="45" fillId="0" borderId="0" xfId="2" applyFont="1" applyFill="1"/>
    <xf numFmtId="0" fontId="46" fillId="0" borderId="0" xfId="2" applyFont="1" applyFill="1"/>
    <xf numFmtId="0" fontId="1" fillId="0" borderId="0" xfId="2" applyFont="1" applyFill="1" applyAlignment="1">
      <alignment horizontal="right"/>
    </xf>
    <xf numFmtId="0" fontId="46" fillId="0" borderId="0" xfId="2" applyFont="1" applyFill="1" applyAlignment="1">
      <alignment horizontal="right"/>
    </xf>
    <xf numFmtId="0" fontId="33" fillId="9" borderId="41" xfId="2" applyFont="1" applyFill="1" applyBorder="1"/>
    <xf numFmtId="0" fontId="31" fillId="9" borderId="30" xfId="2" applyFont="1" applyFill="1" applyBorder="1"/>
    <xf numFmtId="0" fontId="32" fillId="9" borderId="30" xfId="2" applyFont="1" applyFill="1" applyBorder="1"/>
    <xf numFmtId="0" fontId="34" fillId="9" borderId="30" xfId="2" applyFont="1" applyFill="1" applyBorder="1" applyAlignment="1">
      <alignment horizontal="right"/>
    </xf>
    <xf numFmtId="0" fontId="32" fillId="9" borderId="30" xfId="2" applyFont="1" applyFill="1" applyBorder="1" applyAlignment="1">
      <alignment horizontal="right"/>
    </xf>
    <xf numFmtId="0" fontId="33" fillId="9" borderId="30" xfId="2" applyFont="1" applyFill="1" applyBorder="1"/>
    <xf numFmtId="0" fontId="33" fillId="2" borderId="42" xfId="2" applyFont="1" applyFill="1" applyBorder="1"/>
    <xf numFmtId="0" fontId="31" fillId="2" borderId="0" xfId="2" applyFont="1" applyFill="1" applyBorder="1"/>
    <xf numFmtId="0" fontId="37" fillId="2" borderId="0" xfId="2" applyFont="1" applyFill="1" applyBorder="1" applyAlignment="1">
      <alignment wrapText="1"/>
    </xf>
    <xf numFmtId="0" fontId="33" fillId="2" borderId="0" xfId="2" applyFont="1" applyFill="1" applyBorder="1"/>
    <xf numFmtId="168" fontId="37" fillId="2" borderId="0" xfId="96" applyNumberFormat="1" applyFont="1" applyFill="1" applyBorder="1"/>
    <xf numFmtId="9" fontId="37" fillId="2" borderId="0" xfId="96" applyNumberFormat="1" applyFont="1" applyFill="1" applyBorder="1"/>
    <xf numFmtId="164" fontId="37" fillId="2" borderId="0" xfId="95" applyFont="1" applyFill="1" applyBorder="1"/>
    <xf numFmtId="0" fontId="33" fillId="2" borderId="43" xfId="2" applyFont="1" applyFill="1" applyBorder="1"/>
    <xf numFmtId="0" fontId="31" fillId="2" borderId="50" xfId="2" applyFont="1" applyFill="1" applyBorder="1"/>
    <xf numFmtId="0" fontId="33" fillId="2" borderId="50" xfId="2" applyFont="1" applyFill="1" applyBorder="1"/>
    <xf numFmtId="166" fontId="33" fillId="2" borderId="50" xfId="2" applyNumberFormat="1" applyFont="1" applyFill="1" applyBorder="1"/>
    <xf numFmtId="166" fontId="33" fillId="2" borderId="50" xfId="2" applyNumberFormat="1" applyFont="1" applyFill="1" applyBorder="1" applyAlignment="1">
      <alignment wrapText="1"/>
    </xf>
    <xf numFmtId="3" fontId="32" fillId="9" borderId="30" xfId="2" applyNumberFormat="1" applyFont="1" applyFill="1" applyBorder="1" applyAlignment="1">
      <alignment horizontal="right"/>
    </xf>
    <xf numFmtId="0" fontId="47" fillId="12" borderId="30" xfId="0" applyFont="1" applyFill="1" applyBorder="1"/>
    <xf numFmtId="0" fontId="47" fillId="12" borderId="0" xfId="0" applyFont="1" applyFill="1"/>
    <xf numFmtId="0" fontId="0" fillId="0" borderId="0" xfId="0" applyAlignment="1">
      <alignment horizontal="right"/>
    </xf>
    <xf numFmtId="0" fontId="48" fillId="0" borderId="0" xfId="0" applyFont="1" applyAlignment="1">
      <alignment horizontal="right"/>
    </xf>
    <xf numFmtId="3" fontId="49" fillId="2" borderId="0" xfId="2" applyNumberFormat="1" applyFont="1" applyFill="1"/>
    <xf numFmtId="0" fontId="32" fillId="2" borderId="0" xfId="2" applyFont="1" applyFill="1"/>
    <xf numFmtId="168" fontId="51" fillId="2" borderId="0" xfId="96" applyNumberFormat="1" applyFont="1" applyFill="1" applyBorder="1"/>
    <xf numFmtId="166" fontId="38" fillId="2" borderId="50" xfId="2" applyNumberFormat="1" applyFont="1" applyFill="1" applyBorder="1"/>
    <xf numFmtId="0" fontId="38" fillId="2" borderId="50" xfId="2" applyFont="1" applyFill="1" applyBorder="1"/>
    <xf numFmtId="164" fontId="51" fillId="2" borderId="0" xfId="95" applyFont="1" applyFill="1"/>
    <xf numFmtId="9" fontId="38" fillId="2" borderId="0" xfId="2" applyNumberFormat="1" applyFont="1" applyFill="1"/>
    <xf numFmtId="167" fontId="54" fillId="0" borderId="0" xfId="2" applyNumberFormat="1" applyFont="1" applyFill="1"/>
    <xf numFmtId="167" fontId="54" fillId="2" borderId="0" xfId="2" applyNumberFormat="1" applyFont="1" applyFill="1"/>
    <xf numFmtId="167" fontId="38" fillId="2" borderId="0" xfId="2" applyNumberFormat="1" applyFont="1" applyFill="1"/>
    <xf numFmtId="3" fontId="54" fillId="2" borderId="0" xfId="2" applyNumberFormat="1" applyFont="1" applyFill="1"/>
    <xf numFmtId="9" fontId="54" fillId="0" borderId="0" xfId="2" applyNumberFormat="1" applyFont="1" applyFill="1"/>
    <xf numFmtId="167" fontId="53" fillId="2" borderId="0" xfId="2" applyNumberFormat="1" applyFont="1" applyFill="1"/>
    <xf numFmtId="9" fontId="54" fillId="2" borderId="0" xfId="96" applyFont="1" applyFill="1"/>
    <xf numFmtId="168" fontId="54" fillId="2" borderId="0" xfId="96" applyNumberFormat="1" applyFont="1" applyFill="1"/>
    <xf numFmtId="0" fontId="37" fillId="2" borderId="0" xfId="95" applyNumberFormat="1" applyFont="1" applyFill="1" applyBorder="1"/>
    <xf numFmtId="0" fontId="51" fillId="2" borderId="0" xfId="95" applyNumberFormat="1" applyFont="1" applyFill="1" applyBorder="1"/>
    <xf numFmtId="1" fontId="33" fillId="2" borderId="42" xfId="2" applyNumberFormat="1" applyFont="1" applyFill="1" applyBorder="1" applyAlignment="1">
      <alignment wrapText="1"/>
    </xf>
    <xf numFmtId="1" fontId="33" fillId="2" borderId="0" xfId="2" applyNumberFormat="1" applyFont="1" applyFill="1" applyBorder="1" applyAlignment="1">
      <alignment wrapText="1"/>
    </xf>
    <xf numFmtId="1" fontId="38" fillId="2" borderId="0" xfId="2" applyNumberFormat="1" applyFont="1" applyFill="1" applyBorder="1" applyAlignment="1">
      <alignment wrapText="1"/>
    </xf>
    <xf numFmtId="1" fontId="35" fillId="2" borderId="42" xfId="2" applyNumberFormat="1" applyFont="1" applyFill="1" applyBorder="1"/>
    <xf numFmtId="1" fontId="36" fillId="2" borderId="0" xfId="2" applyNumberFormat="1" applyFont="1" applyFill="1" applyBorder="1"/>
    <xf numFmtId="1" fontId="35" fillId="2" borderId="0" xfId="2" applyNumberFormat="1" applyFont="1" applyFill="1" applyBorder="1" applyAlignment="1">
      <alignment horizontal="left" wrapText="1" indent="2"/>
    </xf>
    <xf numFmtId="1" fontId="35" fillId="2" borderId="0" xfId="2" applyNumberFormat="1" applyFont="1" applyFill="1" applyBorder="1" applyAlignment="1">
      <alignment wrapText="1"/>
    </xf>
    <xf numFmtId="1" fontId="52" fillId="2" borderId="0" xfId="2" applyNumberFormat="1" applyFont="1" applyFill="1" applyBorder="1" applyAlignment="1">
      <alignment wrapText="1"/>
    </xf>
    <xf numFmtId="1" fontId="35" fillId="2" borderId="0" xfId="2" applyNumberFormat="1" applyFont="1" applyFill="1" applyBorder="1"/>
    <xf numFmtId="170" fontId="33" fillId="11" borderId="42" xfId="2" applyNumberFormat="1" applyFont="1" applyFill="1" applyBorder="1"/>
    <xf numFmtId="170" fontId="31" fillId="11" borderId="0" xfId="2" applyNumberFormat="1" applyFont="1" applyFill="1" applyBorder="1"/>
    <xf numFmtId="170" fontId="33" fillId="11" borderId="0" xfId="2" applyNumberFormat="1" applyFont="1" applyFill="1" applyBorder="1" applyAlignment="1">
      <alignment wrapText="1"/>
    </xf>
    <xf numFmtId="170" fontId="33" fillId="11" borderId="0" xfId="95" applyNumberFormat="1" applyFont="1" applyFill="1" applyBorder="1"/>
    <xf numFmtId="170" fontId="38" fillId="11" borderId="0" xfId="95" applyNumberFormat="1" applyFont="1" applyFill="1" applyBorder="1"/>
    <xf numFmtId="170" fontId="33" fillId="11" borderId="0" xfId="2" applyNumberFormat="1" applyFont="1" applyFill="1" applyBorder="1"/>
    <xf numFmtId="170" fontId="33" fillId="2" borderId="0" xfId="2" applyNumberFormat="1" applyFont="1" applyFill="1" applyAlignment="1">
      <alignment horizontal="right"/>
    </xf>
    <xf numFmtId="170" fontId="33" fillId="2" borderId="0" xfId="2" applyNumberFormat="1" applyFont="1" applyFill="1" applyBorder="1" applyAlignment="1">
      <alignment horizontal="right"/>
    </xf>
    <xf numFmtId="170" fontId="31" fillId="2" borderId="0" xfId="2" applyNumberFormat="1" applyFont="1" applyFill="1" applyBorder="1" applyAlignment="1">
      <alignment horizontal="right"/>
    </xf>
    <xf numFmtId="170" fontId="38" fillId="2" borderId="0" xfId="95" applyNumberFormat="1" applyFont="1" applyFill="1" applyBorder="1" applyAlignment="1">
      <alignment horizontal="left"/>
    </xf>
    <xf numFmtId="170" fontId="38" fillId="2" borderId="0" xfId="95" applyNumberFormat="1" applyFont="1" applyFill="1" applyBorder="1" applyAlignment="1">
      <alignment horizontal="right"/>
    </xf>
    <xf numFmtId="0" fontId="49" fillId="2" borderId="0" xfId="2" applyFont="1" applyFill="1"/>
    <xf numFmtId="0" fontId="55" fillId="0" borderId="0" xfId="2" applyFont="1" applyFill="1" applyAlignment="1">
      <alignment horizontal="right"/>
    </xf>
    <xf numFmtId="0" fontId="55" fillId="9" borderId="30" xfId="2" applyFont="1" applyFill="1" applyBorder="1" applyAlignment="1">
      <alignment horizontal="right"/>
    </xf>
    <xf numFmtId="1" fontId="49" fillId="2" borderId="0" xfId="2" applyNumberFormat="1" applyFont="1" applyFill="1" applyBorder="1" applyAlignment="1">
      <alignment wrapText="1"/>
    </xf>
    <xf numFmtId="1" fontId="56" fillId="2" borderId="0" xfId="2" applyNumberFormat="1" applyFont="1" applyFill="1" applyBorder="1" applyAlignment="1">
      <alignment wrapText="1"/>
    </xf>
    <xf numFmtId="170" fontId="49" fillId="11" borderId="0" xfId="2" applyNumberFormat="1" applyFont="1" applyFill="1" applyBorder="1"/>
    <xf numFmtId="168" fontId="50" fillId="2" borderId="0" xfId="96" applyNumberFormat="1" applyFont="1" applyFill="1" applyBorder="1"/>
    <xf numFmtId="9" fontId="50" fillId="2" borderId="0" xfId="96" applyNumberFormat="1" applyFont="1" applyFill="1" applyBorder="1"/>
    <xf numFmtId="166" fontId="49" fillId="2" borderId="50" xfId="2" applyNumberFormat="1" applyFont="1" applyFill="1" applyBorder="1"/>
    <xf numFmtId="0" fontId="49" fillId="2" borderId="50" xfId="2" applyFont="1" applyFill="1" applyBorder="1"/>
    <xf numFmtId="0" fontId="55" fillId="9" borderId="0" xfId="2" applyFont="1" applyFill="1" applyAlignment="1">
      <alignment horizontal="right"/>
    </xf>
    <xf numFmtId="164" fontId="50" fillId="2" borderId="0" xfId="95" applyFont="1" applyFill="1"/>
    <xf numFmtId="170" fontId="49" fillId="2" borderId="0" xfId="95" applyNumberFormat="1" applyFont="1" applyFill="1" applyBorder="1" applyAlignment="1">
      <alignment horizontal="right"/>
    </xf>
    <xf numFmtId="3" fontId="49" fillId="2" borderId="0" xfId="95" applyNumberFormat="1" applyFont="1" applyFill="1"/>
    <xf numFmtId="9" fontId="49" fillId="2" borderId="0" xfId="96" applyFont="1" applyFill="1"/>
    <xf numFmtId="3" fontId="49" fillId="9" borderId="30" xfId="2" applyNumberFormat="1" applyFont="1" applyFill="1" applyBorder="1" applyAlignment="1">
      <alignment horizontal="right"/>
    </xf>
    <xf numFmtId="3" fontId="49" fillId="9" borderId="0" xfId="2" applyNumberFormat="1" applyFont="1" applyFill="1" applyAlignment="1">
      <alignment horizontal="right"/>
    </xf>
    <xf numFmtId="9" fontId="58" fillId="2" borderId="0" xfId="96" applyFont="1" applyFill="1"/>
    <xf numFmtId="0" fontId="55" fillId="0" borderId="0" xfId="0" applyFont="1" applyAlignment="1">
      <alignment horizontal="right"/>
    </xf>
    <xf numFmtId="1" fontId="59" fillId="2" borderId="0" xfId="2" applyNumberFormat="1" applyFont="1" applyFill="1" applyBorder="1" applyAlignment="1">
      <alignment wrapText="1"/>
    </xf>
    <xf numFmtId="0" fontId="60" fillId="2" borderId="0" xfId="2" applyFont="1" applyFill="1"/>
    <xf numFmtId="1" fontId="60" fillId="2" borderId="0" xfId="2" applyNumberFormat="1" applyFont="1" applyFill="1" applyBorder="1" applyAlignment="1">
      <alignment wrapText="1"/>
    </xf>
    <xf numFmtId="9" fontId="57" fillId="2" borderId="0" xfId="96" applyNumberFormat="1" applyFont="1" applyFill="1" applyBorder="1"/>
    <xf numFmtId="166" fontId="60" fillId="2" borderId="50" xfId="2" applyNumberFormat="1" applyFont="1" applyFill="1" applyBorder="1"/>
    <xf numFmtId="0" fontId="60" fillId="2" borderId="50" xfId="2" applyFont="1" applyFill="1" applyBorder="1"/>
    <xf numFmtId="164" fontId="57" fillId="2" borderId="0" xfId="95" applyFont="1" applyFill="1"/>
    <xf numFmtId="3" fontId="60" fillId="2" borderId="0" xfId="2" applyNumberFormat="1" applyFont="1" applyFill="1"/>
    <xf numFmtId="9" fontId="60" fillId="2" borderId="0" xfId="96" applyFont="1" applyFill="1"/>
    <xf numFmtId="0" fontId="50" fillId="2" borderId="0" xfId="95" applyNumberFormat="1" applyFont="1" applyFill="1" applyBorder="1"/>
    <xf numFmtId="9" fontId="61" fillId="2" borderId="0" xfId="96" applyFont="1" applyFill="1"/>
    <xf numFmtId="170" fontId="49" fillId="9" borderId="48" xfId="95" applyNumberFormat="1" applyFont="1" applyFill="1" applyBorder="1" applyAlignment="1">
      <alignment horizontal="right"/>
    </xf>
    <xf numFmtId="170" fontId="62" fillId="9" borderId="50" xfId="2" applyNumberFormat="1" applyFont="1" applyFill="1" applyBorder="1" applyAlignment="1">
      <alignment horizontal="right"/>
    </xf>
    <xf numFmtId="170" fontId="63" fillId="9" borderId="50" xfId="95" applyNumberFormat="1" applyFont="1" applyFill="1" applyBorder="1" applyAlignment="1">
      <alignment horizontal="left"/>
    </xf>
    <xf numFmtId="170" fontId="63" fillId="9" borderId="48" xfId="95" applyNumberFormat="1" applyFont="1" applyFill="1" applyBorder="1" applyAlignment="1">
      <alignment horizontal="right"/>
    </xf>
    <xf numFmtId="170" fontId="62" fillId="9" borderId="0" xfId="2" applyNumberFormat="1" applyFont="1" applyFill="1" applyAlignment="1">
      <alignment horizontal="right"/>
    </xf>
    <xf numFmtId="3" fontId="39" fillId="13" borderId="0" xfId="2" applyNumberFormat="1" applyFont="1" applyFill="1"/>
    <xf numFmtId="167" fontId="33" fillId="14" borderId="0" xfId="2" applyNumberFormat="1" applyFont="1" applyFill="1"/>
    <xf numFmtId="3" fontId="38" fillId="14" borderId="0" xfId="2" applyNumberFormat="1" applyFont="1" applyFill="1"/>
    <xf numFmtId="167" fontId="54" fillId="14" borderId="0" xfId="2" applyNumberFormat="1" applyFont="1" applyFill="1"/>
    <xf numFmtId="167" fontId="33" fillId="14" borderId="31" xfId="2" applyNumberFormat="1" applyFont="1" applyFill="1" applyBorder="1"/>
    <xf numFmtId="3" fontId="40" fillId="14" borderId="31" xfId="2" applyNumberFormat="1" applyFont="1" applyFill="1" applyBorder="1"/>
    <xf numFmtId="170" fontId="62" fillId="14" borderId="0" xfId="2" applyNumberFormat="1" applyFont="1" applyFill="1" applyBorder="1" applyAlignment="1">
      <alignment horizontal="right"/>
    </xf>
    <xf numFmtId="170" fontId="63" fillId="15" borderId="51" xfId="95" applyNumberFormat="1" applyFont="1" applyFill="1" applyBorder="1" applyAlignment="1">
      <alignment horizontal="left"/>
    </xf>
    <xf numFmtId="170" fontId="63" fillId="15" borderId="18" xfId="95" applyNumberFormat="1" applyFont="1" applyFill="1" applyBorder="1" applyAlignment="1">
      <alignment horizontal="right"/>
    </xf>
    <xf numFmtId="0" fontId="49" fillId="15" borderId="0" xfId="2" applyFont="1" applyFill="1"/>
    <xf numFmtId="0" fontId="64" fillId="15" borderId="0" xfId="2" applyFont="1" applyFill="1"/>
    <xf numFmtId="0" fontId="62" fillId="15" borderId="0" xfId="2" applyFont="1" applyFill="1"/>
    <xf numFmtId="0" fontId="63" fillId="15" borderId="0" xfId="2" applyFont="1" applyFill="1"/>
    <xf numFmtId="170" fontId="49" fillId="15" borderId="18" xfId="95" applyNumberFormat="1" applyFont="1" applyFill="1" applyBorder="1" applyAlignment="1">
      <alignment horizontal="right"/>
    </xf>
    <xf numFmtId="3" fontId="60" fillId="13" borderId="0" xfId="2" applyNumberFormat="1" applyFont="1" applyFill="1"/>
    <xf numFmtId="0" fontId="60" fillId="15" borderId="0" xfId="2" applyFont="1" applyFill="1"/>
    <xf numFmtId="166" fontId="60" fillId="2" borderId="50" xfId="2" applyNumberFormat="1" applyFont="1" applyFill="1" applyBorder="1" applyAlignment="1">
      <alignment wrapText="1"/>
    </xf>
    <xf numFmtId="170" fontId="49" fillId="15" borderId="33" xfId="95" applyNumberFormat="1" applyFont="1" applyFill="1" applyBorder="1" applyAlignment="1">
      <alignment horizontal="right"/>
    </xf>
    <xf numFmtId="169" fontId="28" fillId="0" borderId="0" xfId="95" applyNumberFormat="1" applyFont="1"/>
    <xf numFmtId="167" fontId="28" fillId="0" borderId="0" xfId="2" applyNumberFormat="1" applyFont="1"/>
    <xf numFmtId="167" fontId="4" fillId="0" borderId="0" xfId="2" applyNumberFormat="1"/>
    <xf numFmtId="3" fontId="4" fillId="0" borderId="0" xfId="2" applyNumberFormat="1"/>
    <xf numFmtId="167" fontId="65" fillId="0" borderId="0" xfId="2" applyNumberFormat="1" applyFont="1" applyAlignment="1">
      <alignment horizontal="center"/>
    </xf>
    <xf numFmtId="0" fontId="66" fillId="0" borderId="0" xfId="2" applyFont="1"/>
    <xf numFmtId="0" fontId="67" fillId="0" borderId="0" xfId="2" applyFont="1" applyFill="1" applyBorder="1" applyAlignment="1">
      <alignment horizontal="center" vertical="center"/>
    </xf>
    <xf numFmtId="0" fontId="4" fillId="0" borderId="0" xfId="2" applyFill="1" applyBorder="1"/>
    <xf numFmtId="167" fontId="28" fillId="0" borderId="0" xfId="2" applyNumberFormat="1" applyFont="1" applyFill="1" applyBorder="1" applyAlignment="1">
      <alignment horizontal="center" vertical="center"/>
    </xf>
    <xf numFmtId="167" fontId="27" fillId="0" borderId="0" xfId="2" applyNumberFormat="1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171" fontId="28" fillId="0" borderId="0" xfId="2" applyNumberFormat="1" applyFont="1" applyFill="1" applyBorder="1" applyAlignment="1">
      <alignment horizontal="center" vertical="center"/>
    </xf>
    <xf numFmtId="9" fontId="28" fillId="0" borderId="0" xfId="96" applyFont="1" applyFill="1" applyBorder="1" applyAlignment="1">
      <alignment horizontal="center" vertical="center"/>
    </xf>
    <xf numFmtId="3" fontId="28" fillId="0" borderId="0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/>
    </xf>
    <xf numFmtId="0" fontId="28" fillId="0" borderId="49" xfId="2" applyFont="1" applyFill="1" applyBorder="1" applyAlignment="1">
      <alignment horizontal="center" vertical="center"/>
    </xf>
    <xf numFmtId="0" fontId="28" fillId="0" borderId="0" xfId="2" applyFont="1" applyBorder="1"/>
    <xf numFmtId="167" fontId="27" fillId="0" borderId="49" xfId="2" applyNumberFormat="1" applyFont="1" applyFill="1" applyBorder="1" applyAlignment="1">
      <alignment horizontal="center" vertical="center"/>
    </xf>
    <xf numFmtId="0" fontId="4" fillId="0" borderId="0" xfId="2" applyAlignment="1">
      <alignment horizontal="right"/>
    </xf>
    <xf numFmtId="14" fontId="4" fillId="0" borderId="0" xfId="2" applyNumberFormat="1" applyAlignment="1">
      <alignment horizontal="right"/>
    </xf>
    <xf numFmtId="0" fontId="28" fillId="0" borderId="0" xfId="2" applyFont="1" applyBorder="1" applyAlignment="1">
      <alignment horizontal="right" vertical="center"/>
    </xf>
    <xf numFmtId="169" fontId="28" fillId="0" borderId="0" xfId="95" applyNumberFormat="1" applyFont="1" applyBorder="1" applyAlignment="1">
      <alignment horizontal="right" vertical="center"/>
    </xf>
    <xf numFmtId="0" fontId="4" fillId="0" borderId="0" xfId="2" applyAlignment="1">
      <alignment horizontal="left"/>
    </xf>
    <xf numFmtId="167" fontId="27" fillId="0" borderId="0" xfId="2" applyNumberFormat="1" applyFont="1" applyFill="1" applyBorder="1" applyAlignment="1">
      <alignment horizontal="left" vertical="center"/>
    </xf>
    <xf numFmtId="0" fontId="68" fillId="0" borderId="0" xfId="2" applyFont="1" applyAlignment="1">
      <alignment horizontal="left"/>
    </xf>
    <xf numFmtId="172" fontId="9" fillId="0" borderId="0" xfId="2" applyNumberFormat="1" applyFont="1" applyAlignment="1">
      <alignment horizontal="left"/>
    </xf>
    <xf numFmtId="173" fontId="9" fillId="0" borderId="0" xfId="2" applyNumberFormat="1" applyFont="1" applyAlignment="1">
      <alignment horizontal="left"/>
    </xf>
    <xf numFmtId="0" fontId="9" fillId="0" borderId="0" xfId="13" applyFont="1" applyAlignment="1">
      <alignment horizontal="left" vertical="top" wrapText="1"/>
    </xf>
    <xf numFmtId="165" fontId="9" fillId="0" borderId="0" xfId="9" applyFont="1" applyAlignment="1">
      <alignment horizontal="left" vertical="top"/>
    </xf>
    <xf numFmtId="0" fontId="9" fillId="0" borderId="0" xfId="12" applyNumberFormat="1" applyFont="1" applyFill="1" applyBorder="1" applyAlignment="1" applyProtection="1">
      <alignment horizontal="left" vertical="center" wrapText="1"/>
    </xf>
    <xf numFmtId="0" fontId="9" fillId="0" borderId="0" xfId="11" applyNumberFormat="1" applyFont="1" applyFill="1" applyBorder="1" applyAlignment="1" applyProtection="1">
      <alignment horizontal="left" vertical="center" wrapText="1"/>
    </xf>
    <xf numFmtId="0" fontId="9" fillId="0" borderId="52" xfId="12" applyNumberFormat="1" applyFont="1" applyFill="1" applyBorder="1" applyAlignment="1" applyProtection="1">
      <alignment horizontal="left" vertical="center" wrapText="1"/>
    </xf>
    <xf numFmtId="165" fontId="9" fillId="0" borderId="52" xfId="5" applyFont="1" applyBorder="1" applyAlignment="1">
      <alignment horizontal="left" vertical="top"/>
    </xf>
    <xf numFmtId="0" fontId="71" fillId="0" borderId="0" xfId="12" applyNumberFormat="1" applyFont="1" applyAlignment="1" applyProtection="1">
      <alignment horizontal="left" vertical="center" wrapText="1"/>
    </xf>
    <xf numFmtId="0" fontId="9" fillId="0" borderId="52" xfId="12" applyNumberFormat="1" applyFont="1" applyBorder="1" applyAlignment="1" applyProtection="1">
      <alignment horizontal="left" vertical="center" wrapText="1"/>
    </xf>
    <xf numFmtId="0" fontId="9" fillId="0" borderId="0" xfId="7" applyFont="1" applyAlignment="1">
      <alignment horizontal="left" vertical="top" wrapText="1"/>
    </xf>
    <xf numFmtId="39" fontId="9" fillId="0" borderId="0" xfId="10" applyFont="1" applyFill="1" applyAlignment="1">
      <alignment horizontal="left" vertical="top"/>
    </xf>
    <xf numFmtId="39" fontId="9" fillId="0" borderId="0" xfId="10" applyFont="1" applyAlignment="1">
      <alignment horizontal="left" vertical="top"/>
    </xf>
    <xf numFmtId="10" fontId="11" fillId="0" borderId="0" xfId="8" applyFont="1" applyAlignment="1">
      <alignment horizontal="left" vertical="center"/>
    </xf>
    <xf numFmtId="39" fontId="9" fillId="0" borderId="0" xfId="6" applyFont="1" applyAlignment="1">
      <alignment horizontal="left" vertical="top"/>
    </xf>
    <xf numFmtId="39" fontId="9" fillId="0" borderId="0" xfId="6" applyFont="1" applyAlignment="1">
      <alignment horizontal="left"/>
    </xf>
    <xf numFmtId="172" fontId="9" fillId="0" borderId="0" xfId="2" applyNumberFormat="1" applyFont="1" applyFill="1" applyAlignment="1">
      <alignment horizontal="left"/>
    </xf>
    <xf numFmtId="165" fontId="9" fillId="0" borderId="0" xfId="5" applyFont="1" applyAlignment="1">
      <alignment horizontal="left" vertical="top"/>
    </xf>
    <xf numFmtId="165" fontId="9" fillId="0" borderId="0" xfId="5" applyFont="1" applyFill="1" applyAlignment="1">
      <alignment horizontal="left" vertical="top"/>
    </xf>
    <xf numFmtId="0" fontId="9" fillId="0" borderId="0" xfId="7" applyFont="1" applyFill="1" applyAlignment="1">
      <alignment horizontal="left" vertical="top" wrapText="1"/>
    </xf>
    <xf numFmtId="0" fontId="9" fillId="0" borderId="0" xfId="13" applyFont="1" applyFill="1" applyAlignment="1">
      <alignment horizontal="left" vertical="top" wrapText="1"/>
    </xf>
    <xf numFmtId="0" fontId="72" fillId="0" borderId="0" xfId="13" applyFont="1" applyFill="1" applyAlignment="1">
      <alignment horizontal="left" vertical="top" wrapText="1"/>
    </xf>
    <xf numFmtId="174" fontId="72" fillId="0" borderId="0" xfId="2" applyNumberFormat="1" applyFont="1" applyFill="1" applyAlignment="1">
      <alignment horizontal="left"/>
    </xf>
    <xf numFmtId="172" fontId="72" fillId="0" borderId="0" xfId="2" applyNumberFormat="1" applyFont="1" applyFill="1" applyAlignment="1">
      <alignment horizontal="left"/>
    </xf>
    <xf numFmtId="172" fontId="73" fillId="0" borderId="0" xfId="2" applyNumberFormat="1" applyFont="1" applyAlignment="1">
      <alignment horizontal="left"/>
    </xf>
    <xf numFmtId="172" fontId="9" fillId="0" borderId="0" xfId="2" applyNumberFormat="1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168" fontId="11" fillId="0" borderId="0" xfId="8" applyNumberFormat="1" applyFont="1" applyAlignment="1">
      <alignment horizontal="left" vertical="center"/>
    </xf>
    <xf numFmtId="0" fontId="72" fillId="0" borderId="0" xfId="13" applyFont="1" applyFill="1" applyBorder="1" applyAlignment="1">
      <alignment horizontal="left" vertical="top" wrapText="1"/>
    </xf>
    <xf numFmtId="165" fontId="72" fillId="0" borderId="0" xfId="5" applyFont="1" applyFill="1" applyBorder="1" applyAlignment="1">
      <alignment horizontal="left" vertical="top"/>
    </xf>
    <xf numFmtId="0" fontId="72" fillId="0" borderId="0" xfId="13" applyFont="1" applyAlignment="1">
      <alignment horizontal="left" vertical="top" wrapText="1"/>
    </xf>
    <xf numFmtId="0" fontId="72" fillId="0" borderId="52" xfId="12" applyNumberFormat="1" applyFont="1" applyBorder="1" applyAlignment="1" applyProtection="1">
      <alignment horizontal="left" vertical="center" wrapText="1"/>
    </xf>
    <xf numFmtId="174" fontId="9" fillId="0" borderId="0" xfId="2" applyNumberFormat="1" applyFont="1" applyFill="1" applyAlignment="1">
      <alignment horizontal="left"/>
    </xf>
    <xf numFmtId="0" fontId="74" fillId="0" borderId="0" xfId="2" applyFont="1" applyAlignment="1">
      <alignment horizontal="left"/>
    </xf>
    <xf numFmtId="0" fontId="69" fillId="9" borderId="0" xfId="2" applyFont="1" applyFill="1" applyAlignment="1">
      <alignment horizontal="left"/>
    </xf>
    <xf numFmtId="0" fontId="70" fillId="9" borderId="0" xfId="2" applyFont="1" applyFill="1" applyAlignment="1">
      <alignment horizontal="left"/>
    </xf>
    <xf numFmtId="172" fontId="30" fillId="9" borderId="53" xfId="2" applyNumberFormat="1" applyFont="1" applyFill="1" applyBorder="1" applyAlignment="1">
      <alignment horizontal="left"/>
    </xf>
    <xf numFmtId="165" fontId="30" fillId="9" borderId="54" xfId="2" applyNumberFormat="1" applyFont="1" applyFill="1" applyBorder="1" applyAlignment="1">
      <alignment horizontal="left"/>
    </xf>
    <xf numFmtId="172" fontId="30" fillId="9" borderId="54" xfId="2" applyNumberFormat="1" applyFont="1" applyFill="1" applyBorder="1" applyAlignment="1">
      <alignment horizontal="left"/>
    </xf>
    <xf numFmtId="9" fontId="75" fillId="9" borderId="55" xfId="96" applyFont="1" applyFill="1" applyBorder="1" applyAlignment="1">
      <alignment horizontal="left" vertical="center"/>
    </xf>
    <xf numFmtId="172" fontId="30" fillId="9" borderId="56" xfId="2" applyNumberFormat="1" applyFont="1" applyFill="1" applyBorder="1" applyAlignment="1">
      <alignment horizontal="left"/>
    </xf>
    <xf numFmtId="168" fontId="30" fillId="9" borderId="57" xfId="96" applyNumberFormat="1" applyFont="1" applyFill="1" applyBorder="1" applyAlignment="1">
      <alignment horizontal="left"/>
    </xf>
    <xf numFmtId="172" fontId="30" fillId="9" borderId="57" xfId="2" applyNumberFormat="1" applyFont="1" applyFill="1" applyBorder="1" applyAlignment="1">
      <alignment horizontal="left"/>
    </xf>
    <xf numFmtId="0" fontId="76" fillId="9" borderId="58" xfId="2" applyFont="1" applyFill="1" applyBorder="1" applyAlignment="1">
      <alignment horizontal="left"/>
    </xf>
    <xf numFmtId="0" fontId="77" fillId="0" borderId="0" xfId="2" applyFont="1"/>
    <xf numFmtId="167" fontId="40" fillId="16" borderId="31" xfId="2" applyNumberFormat="1" applyFont="1" applyFill="1" applyBorder="1"/>
    <xf numFmtId="0" fontId="5" fillId="17" borderId="0" xfId="1" applyFont="1" applyFill="1" applyBorder="1"/>
    <xf numFmtId="0" fontId="3" fillId="17" borderId="5" xfId="1" applyFont="1" applyFill="1" applyBorder="1" applyAlignment="1">
      <alignment horizontal="center" vertical="center"/>
    </xf>
    <xf numFmtId="0" fontId="3" fillId="17" borderId="6" xfId="1" applyFont="1" applyFill="1" applyBorder="1" applyAlignment="1">
      <alignment horizontal="left" indent="2"/>
    </xf>
    <xf numFmtId="3" fontId="3" fillId="17" borderId="6" xfId="1" applyNumberFormat="1" applyFont="1" applyFill="1" applyBorder="1" applyAlignment="1">
      <alignment horizontal="center"/>
    </xf>
    <xf numFmtId="3" fontId="3" fillId="17" borderId="7" xfId="1" applyNumberFormat="1" applyFont="1" applyFill="1" applyBorder="1" applyAlignment="1">
      <alignment horizontal="center"/>
    </xf>
    <xf numFmtId="3" fontId="3" fillId="17" borderId="8" xfId="1" applyNumberFormat="1" applyFont="1" applyFill="1" applyBorder="1" applyAlignment="1">
      <alignment horizontal="center"/>
    </xf>
    <xf numFmtId="0" fontId="4" fillId="17" borderId="0" xfId="2" applyFill="1"/>
    <xf numFmtId="0" fontId="5" fillId="17" borderId="0" xfId="1" applyFont="1" applyFill="1"/>
    <xf numFmtId="0" fontId="33" fillId="14" borderId="42" xfId="2" applyFont="1" applyFill="1" applyBorder="1"/>
    <xf numFmtId="0" fontId="31" fillId="14" borderId="0" xfId="2" applyFont="1" applyFill="1" applyBorder="1"/>
    <xf numFmtId="0" fontId="37" fillId="14" borderId="0" xfId="2" applyFont="1" applyFill="1" applyBorder="1" applyAlignment="1">
      <alignment wrapText="1"/>
    </xf>
    <xf numFmtId="168" fontId="37" fillId="14" borderId="0" xfId="2" applyNumberFormat="1" applyFont="1" applyFill="1" applyBorder="1" applyAlignment="1">
      <alignment wrapText="1"/>
    </xf>
    <xf numFmtId="168" fontId="51" fillId="14" borderId="0" xfId="2" applyNumberFormat="1" applyFont="1" applyFill="1" applyBorder="1" applyAlignment="1">
      <alignment wrapText="1"/>
    </xf>
    <xf numFmtId="168" fontId="37" fillId="18" borderId="0" xfId="0" applyNumberFormat="1" applyFont="1" applyFill="1" applyAlignment="1">
      <alignment wrapText="1"/>
    </xf>
    <xf numFmtId="168" fontId="50" fillId="14" borderId="0" xfId="2" applyNumberFormat="1" applyFont="1" applyFill="1" applyBorder="1" applyAlignment="1">
      <alignment wrapText="1"/>
    </xf>
    <xf numFmtId="168" fontId="57" fillId="14" borderId="0" xfId="2" applyNumberFormat="1" applyFont="1" applyFill="1" applyBorder="1" applyAlignment="1">
      <alignment wrapText="1"/>
    </xf>
    <xf numFmtId="0" fontId="33" fillId="14" borderId="0" xfId="2" applyFont="1" applyFill="1" applyBorder="1"/>
    <xf numFmtId="0" fontId="33" fillId="14" borderId="48" xfId="2" applyFont="1" applyFill="1" applyBorder="1" applyAlignment="1">
      <alignment wrapText="1"/>
    </xf>
    <xf numFmtId="1" fontId="33" fillId="14" borderId="48" xfId="2" applyNumberFormat="1" applyFont="1" applyFill="1" applyBorder="1"/>
    <xf numFmtId="1" fontId="38" fillId="14" borderId="48" xfId="2" applyNumberFormat="1" applyFont="1" applyFill="1" applyBorder="1"/>
    <xf numFmtId="1" fontId="49" fillId="14" borderId="48" xfId="2" applyNumberFormat="1" applyFont="1" applyFill="1" applyBorder="1"/>
    <xf numFmtId="1" fontId="60" fillId="14" borderId="48" xfId="2" applyNumberFormat="1" applyFont="1" applyFill="1" applyBorder="1"/>
    <xf numFmtId="0" fontId="37" fillId="19" borderId="0" xfId="0" applyFont="1" applyFill="1"/>
    <xf numFmtId="0" fontId="50" fillId="19" borderId="0" xfId="0" applyFont="1" applyFill="1"/>
    <xf numFmtId="167" fontId="40" fillId="14" borderId="31" xfId="2" applyNumberFormat="1" applyFont="1" applyFill="1" applyBorder="1"/>
    <xf numFmtId="9" fontId="40" fillId="14" borderId="31" xfId="2" applyNumberFormat="1" applyFont="1" applyFill="1" applyBorder="1"/>
    <xf numFmtId="0" fontId="28" fillId="0" borderId="59" xfId="2" applyFont="1" applyFill="1" applyBorder="1" applyAlignment="1">
      <alignment horizontal="center" vertical="center"/>
    </xf>
    <xf numFmtId="0" fontId="78" fillId="0" borderId="49" xfId="0" applyFont="1" applyFill="1" applyBorder="1"/>
    <xf numFmtId="0" fontId="78" fillId="0" borderId="49" xfId="0" applyFont="1" applyFill="1" applyBorder="1" applyAlignment="1">
      <alignment horizontal="center"/>
    </xf>
    <xf numFmtId="0" fontId="78" fillId="0" borderId="49" xfId="0" quotePrefix="1" applyFont="1" applyFill="1" applyBorder="1" applyAlignment="1">
      <alignment horizontal="center"/>
    </xf>
    <xf numFmtId="0" fontId="28" fillId="0" borderId="49" xfId="2" quotePrefix="1" applyFont="1" applyFill="1" applyBorder="1" applyAlignment="1">
      <alignment horizontal="center" vertical="center"/>
    </xf>
    <xf numFmtId="3" fontId="28" fillId="0" borderId="60" xfId="2" applyNumberFormat="1" applyFont="1" applyFill="1" applyBorder="1" applyAlignment="1">
      <alignment horizontal="center" vertical="center"/>
    </xf>
    <xf numFmtId="0" fontId="27" fillId="0" borderId="59" xfId="2" applyFont="1" applyFill="1" applyBorder="1" applyAlignment="1">
      <alignment horizontal="center" vertical="center"/>
    </xf>
    <xf numFmtId="0" fontId="25" fillId="0" borderId="0" xfId="86" applyFont="1" applyBorder="1" applyAlignment="1">
      <alignment horizontal="center"/>
    </xf>
    <xf numFmtId="0" fontId="78" fillId="0" borderId="66" xfId="0" applyFont="1" applyFill="1" applyBorder="1"/>
    <xf numFmtId="175" fontId="78" fillId="0" borderId="65" xfId="0" applyNumberFormat="1" applyFont="1" applyFill="1" applyBorder="1" applyAlignment="1">
      <alignment horizontal="right"/>
    </xf>
    <xf numFmtId="0" fontId="78" fillId="0" borderId="66" xfId="0" applyFont="1" applyFill="1" applyBorder="1" applyAlignment="1">
      <alignment wrapText="1"/>
    </xf>
    <xf numFmtId="0" fontId="28" fillId="0" borderId="66" xfId="2" applyFont="1" applyFill="1" applyBorder="1" applyAlignment="1">
      <alignment horizontal="left" vertical="center"/>
    </xf>
    <xf numFmtId="175" fontId="28" fillId="0" borderId="67" xfId="2" applyNumberFormat="1" applyFont="1" applyFill="1" applyBorder="1" applyAlignment="1">
      <alignment horizontal="center" vertical="center"/>
    </xf>
    <xf numFmtId="0" fontId="27" fillId="11" borderId="66" xfId="2" applyFont="1" applyFill="1" applyBorder="1" applyAlignment="1">
      <alignment horizontal="center" vertical="center"/>
    </xf>
    <xf numFmtId="0" fontId="28" fillId="11" borderId="49" xfId="2" applyFont="1" applyFill="1" applyBorder="1" applyAlignment="1">
      <alignment horizontal="center" vertical="center"/>
    </xf>
    <xf numFmtId="167" fontId="27" fillId="11" borderId="49" xfId="2" applyNumberFormat="1" applyFont="1" applyFill="1" applyBorder="1" applyAlignment="1">
      <alignment horizontal="center" vertical="center"/>
    </xf>
    <xf numFmtId="0" fontId="27" fillId="11" borderId="64" xfId="2" applyFont="1" applyFill="1" applyBorder="1" applyAlignment="1">
      <alignment horizontal="center" vertical="center"/>
    </xf>
    <xf numFmtId="0" fontId="28" fillId="11" borderId="22" xfId="2" applyFont="1" applyFill="1" applyBorder="1" applyAlignment="1">
      <alignment horizontal="center" vertical="center"/>
    </xf>
    <xf numFmtId="3" fontId="28" fillId="11" borderId="49" xfId="2" applyNumberFormat="1" applyFont="1" applyFill="1" applyBorder="1" applyAlignment="1">
      <alignment horizontal="center" vertical="center"/>
    </xf>
    <xf numFmtId="175" fontId="28" fillId="11" borderId="65" xfId="2" applyNumberFormat="1" applyFont="1" applyFill="1" applyBorder="1" applyAlignment="1">
      <alignment horizontal="center" vertical="center"/>
    </xf>
    <xf numFmtId="0" fontId="29" fillId="21" borderId="44" xfId="2" applyFont="1" applyFill="1" applyBorder="1" applyAlignment="1">
      <alignment horizontal="center" vertical="center"/>
    </xf>
    <xf numFmtId="0" fontId="29" fillId="21" borderId="63" xfId="2" applyFont="1" applyFill="1" applyBorder="1" applyAlignment="1">
      <alignment horizontal="center" vertical="center"/>
    </xf>
    <xf numFmtId="0" fontId="29" fillId="21" borderId="63" xfId="2" applyFont="1" applyFill="1" applyBorder="1" applyAlignment="1">
      <alignment horizontal="center" vertical="center" wrapText="1"/>
    </xf>
    <xf numFmtId="167" fontId="29" fillId="21" borderId="63" xfId="2" applyNumberFormat="1" applyFont="1" applyFill="1" applyBorder="1" applyAlignment="1">
      <alignment horizontal="center" vertical="center" wrapText="1"/>
    </xf>
    <xf numFmtId="167" fontId="29" fillId="21" borderId="45" xfId="2" applyNumberFormat="1" applyFont="1" applyFill="1" applyBorder="1" applyAlignment="1">
      <alignment horizontal="center" vertical="center" wrapText="1"/>
    </xf>
    <xf numFmtId="0" fontId="27" fillId="22" borderId="66" xfId="2" applyFont="1" applyFill="1" applyBorder="1" applyAlignment="1">
      <alignment horizontal="center" vertical="center"/>
    </xf>
    <xf numFmtId="0" fontId="28" fillId="22" borderId="49" xfId="2" applyFont="1" applyFill="1" applyBorder="1" applyAlignment="1">
      <alignment horizontal="center" vertical="center"/>
    </xf>
    <xf numFmtId="9" fontId="28" fillId="22" borderId="49" xfId="96" applyFont="1" applyFill="1" applyBorder="1" applyAlignment="1">
      <alignment horizontal="center" vertical="center"/>
    </xf>
    <xf numFmtId="167" fontId="27" fillId="22" borderId="49" xfId="2" applyNumberFormat="1" applyFont="1" applyFill="1" applyBorder="1" applyAlignment="1">
      <alignment horizontal="center" vertical="center"/>
    </xf>
    <xf numFmtId="3" fontId="28" fillId="22" borderId="49" xfId="2" applyNumberFormat="1" applyFont="1" applyFill="1" applyBorder="1" applyAlignment="1">
      <alignment horizontal="center" vertical="center"/>
    </xf>
    <xf numFmtId="171" fontId="28" fillId="22" borderId="65" xfId="2" applyNumberFormat="1" applyFont="1" applyFill="1" applyBorder="1" applyAlignment="1">
      <alignment horizontal="center" vertical="center"/>
    </xf>
    <xf numFmtId="9" fontId="28" fillId="11" borderId="49" xfId="96" applyFont="1" applyFill="1" applyBorder="1" applyAlignment="1">
      <alignment horizontal="center" vertical="center"/>
    </xf>
    <xf numFmtId="171" fontId="28" fillId="11" borderId="65" xfId="2" applyNumberFormat="1" applyFont="1" applyFill="1" applyBorder="1" applyAlignment="1">
      <alignment horizontal="center" vertical="center"/>
    </xf>
    <xf numFmtId="0" fontId="79" fillId="20" borderId="16" xfId="2" applyFont="1" applyFill="1" applyBorder="1" applyAlignment="1">
      <alignment horizontal="center" vertical="center"/>
    </xf>
    <xf numFmtId="0" fontId="80" fillId="20" borderId="61" xfId="2" applyFont="1" applyFill="1" applyBorder="1"/>
    <xf numFmtId="167" fontId="81" fillId="20" borderId="61" xfId="2" applyNumberFormat="1" applyFont="1" applyFill="1" applyBorder="1" applyAlignment="1">
      <alignment horizontal="center"/>
    </xf>
    <xf numFmtId="0" fontId="76" fillId="20" borderId="61" xfId="2" applyFont="1" applyFill="1" applyBorder="1"/>
    <xf numFmtId="0" fontId="76" fillId="20" borderId="62" xfId="2" applyFont="1" applyFill="1" applyBorder="1"/>
    <xf numFmtId="165" fontId="72" fillId="0" borderId="0" xfId="5" applyFont="1" applyAlignment="1">
      <alignment horizontal="right" vertical="center"/>
    </xf>
    <xf numFmtId="165" fontId="72" fillId="0" borderId="52" xfId="5" applyFont="1" applyBorder="1" applyAlignment="1">
      <alignment horizontal="right" vertical="top"/>
    </xf>
  </cellXfs>
  <cellStyles count="417">
    <cellStyle name="%" xfId="86"/>
    <cellStyle name="=C:\WINNT35\SYSTEM32\COMMAND.COM" xfId="4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Обычный" xfId="0" builtinId="0"/>
    <cellStyle name="Обычный 2" xfId="2"/>
    <cellStyle name="Обычный_формыНКС-Инвест06.06" xfId="3"/>
    <cellStyle name="Обычный_Шаблон для заполнения 03 12-8 полный вариант" xfId="1"/>
    <cellStyle name="Просмотренная гиперссылка" xfId="15" builtinId="9" hidden="1"/>
    <cellStyle name="Просмотренная гиперссылка" xfId="17" builtinId="9" hidden="1"/>
    <cellStyle name="Просмотренная гиперссылка" xfId="19" builtinId="9" hidden="1"/>
    <cellStyle name="Просмотренная гиперссылка" xfId="21" builtinId="9" hidden="1"/>
    <cellStyle name="Просмотренная гиперссылка" xfId="23" builtinId="9" hidden="1"/>
    <cellStyle name="Просмотренная гиперссылка" xfId="25" builtinId="9" hidden="1"/>
    <cellStyle name="Просмотренная гиперссылка" xfId="27" builtinId="9" hidden="1"/>
    <cellStyle name="Просмотренная гиперссылка" xfId="29" builtinId="9" hidden="1"/>
    <cellStyle name="Просмотренная гиперссылка" xfId="31" builtinId="9" hidden="1"/>
    <cellStyle name="Просмотренная гиперссылка" xfId="33" builtinId="9" hidden="1"/>
    <cellStyle name="Просмотренная гиперссылка" xfId="35" builtinId="9" hidden="1"/>
    <cellStyle name="Просмотренная гиперссылка" xfId="37" builtinId="9" hidden="1"/>
    <cellStyle name="Просмотренная гиперссылка" xfId="39" builtinId="9" hidden="1"/>
    <cellStyle name="Просмотренная гиперссылка" xfId="41" builtinId="9" hidden="1"/>
    <cellStyle name="Просмотренная гиперссылка" xfId="43" builtinId="9" hidden="1"/>
    <cellStyle name="Просмотренная гиперссылка" xfId="45" builtinId="9" hidden="1"/>
    <cellStyle name="Просмотренная гиперссылка" xfId="47" builtinId="9" hidden="1"/>
    <cellStyle name="Просмотренная гиперссылка" xfId="49" builtinId="9" hidden="1"/>
    <cellStyle name="Просмотренная гиперссылка" xfId="51" builtinId="9" hidden="1"/>
    <cellStyle name="Просмотренная гиперссылка" xfId="53" builtinId="9" hidden="1"/>
    <cellStyle name="Просмотренная гиперссылка" xfId="55" builtinId="9" hidden="1"/>
    <cellStyle name="Просмотренная гиперссылка" xfId="57" builtinId="9" hidden="1"/>
    <cellStyle name="Просмотренная гиперссылка" xfId="59" builtinId="9" hidden="1"/>
    <cellStyle name="Просмотренная гиперссылка" xfId="61" builtinId="9" hidden="1"/>
    <cellStyle name="Просмотренная гиперссылка" xfId="63" builtinId="9" hidden="1"/>
    <cellStyle name="Просмотренная гиперссылка" xfId="65" builtinId="9" hidden="1"/>
    <cellStyle name="Просмотренная гиперссылка" xfId="67" builtinId="9" hidden="1"/>
    <cellStyle name="Просмотренная гиперссылка" xfId="69" builtinId="9" hidden="1"/>
    <cellStyle name="Просмотренная гиперссылка" xfId="71" builtinId="9" hidden="1"/>
    <cellStyle name="Просмотренная гиперссылка" xfId="73" builtinId="9" hidden="1"/>
    <cellStyle name="Просмотренная гиперссылка" xfId="75" builtinId="9" hidden="1"/>
    <cellStyle name="Просмотренная гиперссылка" xfId="77" builtinId="9" hidden="1"/>
    <cellStyle name="Просмотренная гиперссылка" xfId="79" builtinId="9" hidden="1"/>
    <cellStyle name="Просмотренная гиперссылка" xfId="81" builtinId="9" hidden="1"/>
    <cellStyle name="Просмотренная гиперссылка" xfId="83" builtinId="9" hidden="1"/>
    <cellStyle name="Просмотренная гиперссылка" xfId="85" builtinId="9" hidden="1"/>
    <cellStyle name="Просмотренная гиперссылка" xfId="88" builtinId="9" hidden="1"/>
    <cellStyle name="Просмотренная гиперссылка" xfId="90" builtinId="9" hidden="1"/>
    <cellStyle name="Просмотренная гиперссылка" xfId="92" builtinId="9" hidden="1"/>
    <cellStyle name="Просмотренная гиперссылка" xfId="94" builtinId="9" hidden="1"/>
    <cellStyle name="Просмотренная гиперссылка" xfId="98" builtinId="9" hidden="1"/>
    <cellStyle name="Просмотренная гиперссылка" xfId="100" builtinId="9" hidden="1"/>
    <cellStyle name="Просмотренная гиперссылка" xfId="102" builtinId="9" hidden="1"/>
    <cellStyle name="Просмотренная гиперссылка" xfId="104" builtinId="9" hidden="1"/>
    <cellStyle name="Просмотренная гиперссылка" xfId="106" builtinId="9" hidden="1"/>
    <cellStyle name="Просмотренная гиперссылка" xfId="108" builtinId="9" hidden="1"/>
    <cellStyle name="Просмотренная гиперссылка" xfId="110" builtinId="9" hidden="1"/>
    <cellStyle name="Просмотренная гиперссылка" xfId="112" builtinId="9" hidden="1"/>
    <cellStyle name="Просмотренная гиперссылка" xfId="114" builtinId="9" hidden="1"/>
    <cellStyle name="Просмотренная гиперссылка" xfId="116" builtinId="9" hidden="1"/>
    <cellStyle name="Просмотренная гиперссылка" xfId="118" builtinId="9" hidden="1"/>
    <cellStyle name="Просмотренная гиперссылка" xfId="120" builtinId="9" hidden="1"/>
    <cellStyle name="Просмотренная гиперссылка" xfId="122" builtinId="9" hidden="1"/>
    <cellStyle name="Просмотренная гиперссылка" xfId="124" builtinId="9" hidden="1"/>
    <cellStyle name="Просмотренная гиперссылка" xfId="126" builtinId="9" hidden="1"/>
    <cellStyle name="Просмотренная гиперссылка" xfId="128" builtinId="9" hidden="1"/>
    <cellStyle name="Просмотренная гиперссылка" xfId="130" builtinId="9" hidden="1"/>
    <cellStyle name="Просмотренная гиперссылка" xfId="132" builtinId="9" hidden="1"/>
    <cellStyle name="Просмотренная гиперссылка" xfId="134" builtinId="9" hidden="1"/>
    <cellStyle name="Просмотренная гиперссылка" xfId="136" builtinId="9" hidden="1"/>
    <cellStyle name="Просмотренная гиперссылка" xfId="138" builtinId="9" hidden="1"/>
    <cellStyle name="Просмотренная гиперссылка" xfId="140" builtinId="9" hidden="1"/>
    <cellStyle name="Просмотренная гиперссылка" xfId="142" builtinId="9" hidden="1"/>
    <cellStyle name="Просмотренная гиперссылка" xfId="144" builtinId="9" hidden="1"/>
    <cellStyle name="Просмотренная гиперссылка" xfId="146" builtinId="9" hidden="1"/>
    <cellStyle name="Просмотренная гиперссылка" xfId="148" builtinId="9" hidden="1"/>
    <cellStyle name="Просмотренная гиперссылка" xfId="150" builtinId="9" hidden="1"/>
    <cellStyle name="Просмотренная гиперссылка" xfId="152" builtinId="9" hidden="1"/>
    <cellStyle name="Просмотренная гиперссылка" xfId="154" builtinId="9" hidden="1"/>
    <cellStyle name="Просмотренная гиперссылка" xfId="156" builtinId="9" hidden="1"/>
    <cellStyle name="Просмотренная гиперссылка" xfId="158" builtinId="9" hidden="1"/>
    <cellStyle name="Просмотренная гиперссылка" xfId="160" builtinId="9" hidden="1"/>
    <cellStyle name="Просмотренная гиперссылка" xfId="162" builtinId="9" hidden="1"/>
    <cellStyle name="Просмотренная гиперссылка" xfId="164" builtinId="9" hidden="1"/>
    <cellStyle name="Просмотренная гиперссылка" xfId="166" builtinId="9" hidden="1"/>
    <cellStyle name="Просмотренная гиперссылка" xfId="168" builtinId="9" hidden="1"/>
    <cellStyle name="Просмотренная гиперссылка" xfId="170" builtinId="9" hidden="1"/>
    <cellStyle name="Просмотренная гиперссылка" xfId="172" builtinId="9" hidden="1"/>
    <cellStyle name="Просмотренная гиперссылка" xfId="174" builtinId="9" hidden="1"/>
    <cellStyle name="Просмотренная гиперссылка" xfId="176" builtinId="9" hidden="1"/>
    <cellStyle name="Просмотренная гиперссылка" xfId="178" builtinId="9" hidden="1"/>
    <cellStyle name="Просмотренная гиперссылка" xfId="180" builtinId="9" hidden="1"/>
    <cellStyle name="Просмотренная гиперссылка" xfId="182" builtinId="9" hidden="1"/>
    <cellStyle name="Просмотренная гиперссылка" xfId="184" builtinId="9" hidden="1"/>
    <cellStyle name="Просмотренная гиперссылка" xfId="186" builtinId="9" hidden="1"/>
    <cellStyle name="Просмотренная гиперссылка" xfId="188" builtinId="9" hidden="1"/>
    <cellStyle name="Просмотренная гиперссылка" xfId="190" builtinId="9" hidden="1"/>
    <cellStyle name="Просмотренная гиперссылка" xfId="192" builtinId="9" hidden="1"/>
    <cellStyle name="Просмотренная гиперссылка" xfId="194" builtinId="9" hidden="1"/>
    <cellStyle name="Просмотренная гиперссылка" xfId="196" builtinId="9" hidden="1"/>
    <cellStyle name="Просмотренная гиперссылка" xfId="198" builtinId="9" hidden="1"/>
    <cellStyle name="Просмотренная гиперссылка" xfId="200" builtinId="9" hidden="1"/>
    <cellStyle name="Просмотренная гиперссылка" xfId="202" builtinId="9" hidden="1"/>
    <cellStyle name="Просмотренная гиперссылка" xfId="204" builtinId="9" hidden="1"/>
    <cellStyle name="Просмотренная гиперссылка" xfId="206" builtinId="9" hidden="1"/>
    <cellStyle name="Просмотренная гиперссылка" xfId="208" builtinId="9" hidden="1"/>
    <cellStyle name="Просмотренная гиперссылка" xfId="210" builtinId="9" hidden="1"/>
    <cellStyle name="Просмотренная гиперссылка" xfId="212" builtinId="9" hidden="1"/>
    <cellStyle name="Просмотренная гиперссылка" xfId="214" builtinId="9" hidden="1"/>
    <cellStyle name="Просмотренная гиперссылка" xfId="216" builtinId="9" hidden="1"/>
    <cellStyle name="Просмотренная гиперссылка" xfId="218" builtinId="9" hidden="1"/>
    <cellStyle name="Просмотренная гиперссылка" xfId="220" builtinId="9" hidden="1"/>
    <cellStyle name="Просмотренная гиперссылка" xfId="222" builtinId="9" hidden="1"/>
    <cellStyle name="Просмотренная гиперссылка" xfId="224" builtinId="9" hidden="1"/>
    <cellStyle name="Просмотренная гиперссылка" xfId="226" builtinId="9" hidden="1"/>
    <cellStyle name="Просмотренная гиперссылка" xfId="228" builtinId="9" hidden="1"/>
    <cellStyle name="Просмотренная гиперссылка" xfId="230" builtinId="9" hidden="1"/>
    <cellStyle name="Просмотренная гиперссылка" xfId="232" builtinId="9" hidden="1"/>
    <cellStyle name="Просмотренная гиперссылка" xfId="234" builtinId="9" hidden="1"/>
    <cellStyle name="Просмотренная гиперссылка" xfId="236" builtinId="9" hidden="1"/>
    <cellStyle name="Просмотренная гиперссылка" xfId="238" builtinId="9" hidden="1"/>
    <cellStyle name="Просмотренная гиперссылка" xfId="240" builtinId="9" hidden="1"/>
    <cellStyle name="Просмотренная гиперссылка" xfId="242" builtinId="9" hidden="1"/>
    <cellStyle name="Просмотренная гиперссылка" xfId="244" builtinId="9" hidden="1"/>
    <cellStyle name="Просмотренная гиперссылка" xfId="246" builtinId="9" hidden="1"/>
    <cellStyle name="Просмотренная гиперссылка" xfId="248" builtinId="9" hidden="1"/>
    <cellStyle name="Просмотренная гиперссылка" xfId="250" builtinId="9" hidden="1"/>
    <cellStyle name="Просмотренная гиперссылка" xfId="252" builtinId="9" hidden="1"/>
    <cellStyle name="Просмотренная гиперссылка" xfId="254" builtinId="9" hidden="1"/>
    <cellStyle name="Просмотренная гиперссылка" xfId="256" builtinId="9" hidden="1"/>
    <cellStyle name="Просмотренная гиперссылка" xfId="258" builtinId="9" hidden="1"/>
    <cellStyle name="Просмотренная гиперссылка" xfId="260" builtinId="9" hidden="1"/>
    <cellStyle name="Просмотренная гиперссылка" xfId="262" builtinId="9" hidden="1"/>
    <cellStyle name="Просмотренная гиперссылка" xfId="264" builtinId="9" hidden="1"/>
    <cellStyle name="Просмотренная гиперссылка" xfId="266" builtinId="9" hidden="1"/>
    <cellStyle name="Просмотренная гиперссылка" xfId="268" builtinId="9" hidden="1"/>
    <cellStyle name="Просмотренная гиперссылка" xfId="270" builtinId="9" hidden="1"/>
    <cellStyle name="Просмотренная гиперссылка" xfId="272" builtinId="9" hidden="1"/>
    <cellStyle name="Просмотренная гиперссылка" xfId="274" builtinId="9" hidden="1"/>
    <cellStyle name="Просмотренная гиперссылка" xfId="276" builtinId="9" hidden="1"/>
    <cellStyle name="Просмотренная гиперссылка" xfId="278" builtinId="9" hidden="1"/>
    <cellStyle name="Просмотренная гиперссылка" xfId="280" builtinId="9" hidden="1"/>
    <cellStyle name="Просмотренная гиперссылка" xfId="282" builtinId="9" hidden="1"/>
    <cellStyle name="Просмотренная гиперссылка" xfId="284" builtinId="9" hidden="1"/>
    <cellStyle name="Просмотренная гиперссылка" xfId="286" builtinId="9" hidden="1"/>
    <cellStyle name="Просмотренная гиперссылка" xfId="288" builtinId="9" hidden="1"/>
    <cellStyle name="Просмотренная гиперссылка" xfId="290" builtinId="9" hidden="1"/>
    <cellStyle name="Просмотренная гиперссылка" xfId="292" builtinId="9" hidden="1"/>
    <cellStyle name="Просмотренная гиперссылка" xfId="294" builtinId="9" hidden="1"/>
    <cellStyle name="Просмотренная гиперссылка" xfId="296" builtinId="9" hidden="1"/>
    <cellStyle name="Просмотренная гиперссылка" xfId="298" builtinId="9" hidden="1"/>
    <cellStyle name="Просмотренная гиперссылка" xfId="300" builtinId="9" hidden="1"/>
    <cellStyle name="Просмотренная гиперссылка" xfId="302" builtinId="9" hidden="1"/>
    <cellStyle name="Просмотренная гиперссылка" xfId="304" builtinId="9" hidden="1"/>
    <cellStyle name="Просмотренная гиперссылка" xfId="306" builtinId="9" hidden="1"/>
    <cellStyle name="Просмотренная гиперссылка" xfId="308" builtinId="9" hidden="1"/>
    <cellStyle name="Просмотренная гиперссылка" xfId="310" builtinId="9" hidden="1"/>
    <cellStyle name="Просмотренная гиперссылка" xfId="312" builtinId="9" hidden="1"/>
    <cellStyle name="Просмотренная гиперссылка" xfId="314" builtinId="9" hidden="1"/>
    <cellStyle name="Просмотренная гиперссылка" xfId="316" builtinId="9" hidden="1"/>
    <cellStyle name="Просмотренная гиперссылка" xfId="318" builtinId="9" hidden="1"/>
    <cellStyle name="Просмотренная гиперссылка" xfId="320" builtinId="9" hidden="1"/>
    <cellStyle name="Просмотренная гиперссылка" xfId="322" builtinId="9" hidden="1"/>
    <cellStyle name="Просмотренная гиперссылка" xfId="324" builtinId="9" hidden="1"/>
    <cellStyle name="Просмотренная гиперссылка" xfId="326" builtinId="9" hidden="1"/>
    <cellStyle name="Просмотренная гиперссылка" xfId="328" builtinId="9" hidden="1"/>
    <cellStyle name="Просмотренная гиперссылка" xfId="330" builtinId="9" hidden="1"/>
    <cellStyle name="Просмотренная гиперссылка" xfId="332" builtinId="9" hidden="1"/>
    <cellStyle name="Просмотренная гиперссылка" xfId="334" builtinId="9" hidden="1"/>
    <cellStyle name="Просмотренная гиперссылка" xfId="336" builtinId="9" hidden="1"/>
    <cellStyle name="Просмотренная гиперссылка" xfId="338" builtinId="9" hidden="1"/>
    <cellStyle name="Просмотренная гиперссылка" xfId="340" builtinId="9" hidden="1"/>
    <cellStyle name="Просмотренная гиперссылка" xfId="342" builtinId="9" hidden="1"/>
    <cellStyle name="Просмотренная гиперссылка" xfId="344" builtinId="9" hidden="1"/>
    <cellStyle name="Просмотренная гиперссылка" xfId="346" builtinId="9" hidden="1"/>
    <cellStyle name="Просмотренная гиперссылка" xfId="348" builtinId="9" hidden="1"/>
    <cellStyle name="Просмотренная гиперссылка" xfId="350" builtinId="9" hidden="1"/>
    <cellStyle name="Просмотренная гиперссылка" xfId="352" builtinId="9" hidden="1"/>
    <cellStyle name="Просмотренная гиперссылка" xfId="354" builtinId="9" hidden="1"/>
    <cellStyle name="Просмотренная гиперссылка" xfId="356" builtinId="9" hidden="1"/>
    <cellStyle name="Просмотренная гиперссылка" xfId="358" builtinId="9" hidden="1"/>
    <cellStyle name="Просмотренная гиперссылка" xfId="360" builtinId="9" hidden="1"/>
    <cellStyle name="Просмотренная гиперссылка" xfId="362" builtinId="9" hidden="1"/>
    <cellStyle name="Просмотренная гиперссылка" xfId="364" builtinId="9" hidden="1"/>
    <cellStyle name="Просмотренная гиперссылка" xfId="366" builtinId="9" hidden="1"/>
    <cellStyle name="Просмотренная гиперссылка" xfId="368" builtinId="9" hidden="1"/>
    <cellStyle name="Просмотренная гиперссылка" xfId="370" builtinId="9" hidden="1"/>
    <cellStyle name="Просмотренная гиперссылка" xfId="372" builtinId="9" hidden="1"/>
    <cellStyle name="Просмотренная гиперссылка" xfId="374" builtinId="9" hidden="1"/>
    <cellStyle name="Просмотренная гиперссылка" xfId="376" builtinId="9" hidden="1"/>
    <cellStyle name="Просмотренная гиперссылка" xfId="378" builtinId="9" hidden="1"/>
    <cellStyle name="Просмотренная гиперссылка" xfId="380" builtinId="9" hidden="1"/>
    <cellStyle name="Просмотренная гиперссылка" xfId="382" builtinId="9" hidden="1"/>
    <cellStyle name="Просмотренная гиперссылка" xfId="384" builtinId="9" hidden="1"/>
    <cellStyle name="Просмотренная гиперссылка" xfId="386" builtinId="9" hidden="1"/>
    <cellStyle name="Просмотренная гиперссылка" xfId="388" builtinId="9" hidden="1"/>
    <cellStyle name="Просмотренная гиперссылка" xfId="390" builtinId="9" hidden="1"/>
    <cellStyle name="Просмотренная гиперссылка" xfId="392" builtinId="9" hidden="1"/>
    <cellStyle name="Просмотренная гиперссылка" xfId="394" builtinId="9" hidden="1"/>
    <cellStyle name="Просмотренная гиперссылка" xfId="396" builtinId="9" hidden="1"/>
    <cellStyle name="Просмотренная гиперссылка" xfId="398" builtinId="9" hidden="1"/>
    <cellStyle name="Просмотренная гиперссылка" xfId="400" builtinId="9" hidden="1"/>
    <cellStyle name="Просмотренная гиперссылка" xfId="402" builtinId="9" hidden="1"/>
    <cellStyle name="Просмотренная гиперссылка" xfId="404" builtinId="9" hidden="1"/>
    <cellStyle name="Просмотренная гиперссылка" xfId="406" builtinId="9" hidden="1"/>
    <cellStyle name="Просмотренная гиперссылка" xfId="408" builtinId="9" hidden="1"/>
    <cellStyle name="Просмотренная гиперссылка" xfId="410" builtinId="9" hidden="1"/>
    <cellStyle name="Просмотренная гиперссылка" xfId="412" builtinId="9" hidden="1"/>
    <cellStyle name="Просмотренная гиперссылка" xfId="414" builtinId="9" hidden="1"/>
    <cellStyle name="Просмотренная гиперссылка" xfId="416" builtinId="9" hidden="1"/>
    <cellStyle name="Процентный 2" xfId="96"/>
    <cellStyle name="Финансовый 2" xfId="95"/>
    <cellStyle name="clc0" xfId="5"/>
    <cellStyle name="clc2" xfId="6"/>
    <cellStyle name="EYtext" xfId="7"/>
    <cellStyle name="Li%" xfId="8"/>
    <cellStyle name="Li0" xfId="9"/>
    <cellStyle name="Li2" xfId="10"/>
    <cellStyle name="Normal_MGOK model v.1.11 (old prices)" xfId="11"/>
    <cellStyle name="Normal_Nkomati FinModel_0" xfId="12"/>
    <cellStyle name="Text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Cash Flow</a:t>
            </a:r>
            <a:endParaRPr lang="ru-RU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CF дисконтированный</c:v>
          </c:tx>
          <c:marker>
            <c:symbol val="none"/>
          </c:marker>
          <c:cat>
            <c:numRef>
              <c:f>'Денежный поток'!$E$2:$K$2</c:f>
              <c:numCache>
                <c:formatCode>General</c:formatCode>
                <c:ptCount val="7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</c:numCache>
            </c:numRef>
          </c:cat>
          <c:val>
            <c:numRef>
              <c:f>'Денежный поток'!$E$23:$K$23</c:f>
              <c:numCache>
                <c:formatCode>#\ ##0;\(#\ ##0\)</c:formatCode>
                <c:ptCount val="7"/>
                <c:pt idx="0">
                  <c:v>-731683.2882530002</c:v>
                </c:pt>
                <c:pt idx="1">
                  <c:v>-410079.4194590871</c:v>
                </c:pt>
                <c:pt idx="2">
                  <c:v>-144507.1609237372</c:v>
                </c:pt>
                <c:pt idx="3">
                  <c:v>67205.8156884104</c:v>
                </c:pt>
                <c:pt idx="4">
                  <c:v>232333.2876298057</c:v>
                </c:pt>
                <c:pt idx="5">
                  <c:v>353710.1738913066</c:v>
                </c:pt>
                <c:pt idx="6">
                  <c:v>440362.8802412306</c:v>
                </c:pt>
              </c:numCache>
            </c:numRef>
          </c:val>
          <c:smooth val="0"/>
        </c:ser>
        <c:ser>
          <c:idx val="1"/>
          <c:order val="1"/>
          <c:tx>
            <c:v>CF недисконтированный</c:v>
          </c:tx>
          <c:marker>
            <c:symbol val="none"/>
          </c:marker>
          <c:cat>
            <c:numRef>
              <c:f>'Денежный поток'!$E$2:$K$2</c:f>
              <c:numCache>
                <c:formatCode>General</c:formatCode>
                <c:ptCount val="7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</c:numCache>
            </c:numRef>
          </c:cat>
          <c:val>
            <c:numRef>
              <c:f>'Денежный поток'!$E$24:$K$24</c:f>
              <c:numCache>
                <c:formatCode>#\ ##0;\(#\ ##0\)</c:formatCode>
                <c:ptCount val="7"/>
                <c:pt idx="0">
                  <c:v>-731683.2882530002</c:v>
                </c:pt>
                <c:pt idx="1">
                  <c:v>-361838.8391400001</c:v>
                </c:pt>
                <c:pt idx="2">
                  <c:v>-10619.52722699998</c:v>
                </c:pt>
                <c:pt idx="3">
                  <c:v>311369.4460779999</c:v>
                </c:pt>
                <c:pt idx="4">
                  <c:v>600178.4265501997</c:v>
                </c:pt>
                <c:pt idx="5">
                  <c:v>844310.6991286397</c:v>
                </c:pt>
                <c:pt idx="6">
                  <c:v>1.04474367442187E6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8651736"/>
        <c:axId val="-2118628264"/>
      </c:lineChart>
      <c:catAx>
        <c:axId val="-211865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118628264"/>
        <c:crosses val="autoZero"/>
        <c:auto val="1"/>
        <c:lblAlgn val="ctr"/>
        <c:lblOffset val="100"/>
        <c:noMultiLvlLbl val="0"/>
      </c:catAx>
      <c:valAx>
        <c:axId val="-211862826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\ ##0;\(#\ ##0\)" sourceLinked="1"/>
        <c:majorTickMark val="none"/>
        <c:minorTickMark val="none"/>
        <c:tickLblPos val="nextTo"/>
        <c:crossAx val="-2118651736"/>
        <c:crossesAt val="1.0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36979</xdr:colOff>
      <xdr:row>28</xdr:row>
      <xdr:rowOff>560</xdr:rowOff>
    </xdr:from>
    <xdr:to>
      <xdr:col>7</xdr:col>
      <xdr:colOff>103654</xdr:colOff>
      <xdr:row>30</xdr:row>
      <xdr:rowOff>170328</xdr:rowOff>
    </xdr:to>
    <xdr:pic>
      <xdr:nvPicPr>
        <xdr:cNvPr id="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5279" y="4851960"/>
          <a:ext cx="2454275" cy="52536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687294</xdr:colOff>
      <xdr:row>33</xdr:row>
      <xdr:rowOff>164353</xdr:rowOff>
    </xdr:from>
    <xdr:to>
      <xdr:col>12</xdr:col>
      <xdr:colOff>59764</xdr:colOff>
      <xdr:row>55</xdr:row>
      <xdr:rowOff>119529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39"/>
  <sheetViews>
    <sheetView tabSelected="1" zoomScale="85" zoomScaleNormal="85" zoomScalePageLayoutView="85" workbookViewId="0">
      <selection activeCell="P28" sqref="P28"/>
    </sheetView>
  </sheetViews>
  <sheetFormatPr baseColWidth="10" defaultColWidth="9.1640625" defaultRowHeight="14" x14ac:dyDescent="0"/>
  <cols>
    <col min="1" max="1" width="3.1640625" style="267" customWidth="1"/>
    <col min="2" max="2" width="2.83203125" style="267" customWidth="1"/>
    <col min="3" max="3" width="51.6640625" style="267" customWidth="1"/>
    <col min="4" max="4" width="16.5" style="267" customWidth="1"/>
    <col min="5" max="5" width="14" style="267" customWidth="1"/>
    <col min="6" max="6" width="15" style="267" customWidth="1"/>
    <col min="7" max="7" width="16.33203125" style="267" customWidth="1"/>
    <col min="8" max="8" width="13.33203125" style="267" customWidth="1"/>
    <col min="9" max="9" width="12.33203125" style="267" customWidth="1"/>
    <col min="10" max="10" width="15.6640625" style="267" customWidth="1"/>
    <col min="11" max="11" width="12.5" style="267" customWidth="1"/>
    <col min="12" max="12" width="11" style="267" customWidth="1"/>
    <col min="13" max="16384" width="9.1640625" style="267"/>
  </cols>
  <sheetData>
    <row r="1" spans="2:12" ht="18">
      <c r="B1" s="268"/>
      <c r="C1" s="303" t="s">
        <v>202</v>
      </c>
      <c r="E1" s="269">
        <v>0</v>
      </c>
      <c r="F1" s="269">
        <v>1</v>
      </c>
      <c r="G1" s="269">
        <v>2</v>
      </c>
      <c r="H1" s="269">
        <v>3</v>
      </c>
      <c r="I1" s="269">
        <v>4</v>
      </c>
      <c r="J1" s="269">
        <v>5</v>
      </c>
      <c r="K1" s="269">
        <v>6</v>
      </c>
      <c r="L1" s="269"/>
    </row>
    <row r="2" spans="2:12">
      <c r="C2" s="304"/>
      <c r="D2" s="304"/>
      <c r="E2" s="304">
        <v>2014</v>
      </c>
      <c r="F2" s="304">
        <v>2015</v>
      </c>
      <c r="G2" s="304">
        <v>2016</v>
      </c>
      <c r="H2" s="304">
        <v>2017</v>
      </c>
      <c r="I2" s="304">
        <v>2018</v>
      </c>
      <c r="J2" s="304">
        <v>2019</v>
      </c>
      <c r="K2" s="304">
        <v>2020</v>
      </c>
      <c r="L2" s="305" t="s">
        <v>179</v>
      </c>
    </row>
    <row r="3" spans="2:12" hidden="1">
      <c r="C3" s="270"/>
      <c r="D3" s="270"/>
      <c r="E3" s="270"/>
      <c r="F3" s="270"/>
      <c r="G3" s="271"/>
      <c r="H3" s="271"/>
      <c r="I3" s="271"/>
      <c r="J3" s="271"/>
      <c r="K3" s="271"/>
      <c r="L3" s="271"/>
    </row>
    <row r="4" spans="2:12">
      <c r="C4" s="272" t="s">
        <v>180</v>
      </c>
      <c r="D4" s="273"/>
      <c r="E4" s="273">
        <f>'Бизнес-план'!J41</f>
        <v>685216</v>
      </c>
      <c r="F4" s="273">
        <f>'Бизнес-план'!O41</f>
        <v>866927.04000000015</v>
      </c>
      <c r="G4" s="273">
        <f>'Бизнес-план'!T41</f>
        <v>872884.04000000015</v>
      </c>
      <c r="H4" s="273">
        <f>'Бизнес-план'!Y41</f>
        <v>858181.52</v>
      </c>
      <c r="I4" s="273">
        <f>'Бизнес-план'!AD41</f>
        <v>844245.03799999994</v>
      </c>
      <c r="J4" s="273">
        <f>'Бизнес-план'!AI41</f>
        <v>813373.22359999991</v>
      </c>
      <c r="K4" s="273">
        <f>'Бизнес-план'!AN41</f>
        <v>791460.59938399983</v>
      </c>
      <c r="L4" s="273">
        <f>K4*(1+D36)</f>
        <v>751887.5694147998</v>
      </c>
    </row>
    <row r="5" spans="2:12" hidden="1">
      <c r="C5" s="270"/>
      <c r="D5" s="270"/>
      <c r="E5" s="270"/>
      <c r="F5" s="270"/>
      <c r="G5" s="270"/>
      <c r="H5" s="270"/>
      <c r="I5" s="270"/>
      <c r="J5" s="270"/>
      <c r="K5" s="270"/>
      <c r="L5" s="270"/>
    </row>
    <row r="6" spans="2:12">
      <c r="C6" s="274" t="s">
        <v>109</v>
      </c>
      <c r="D6" s="273"/>
      <c r="E6" s="273">
        <f>'Бизнес-план'!J84</f>
        <v>-354187.58997250022</v>
      </c>
      <c r="F6" s="273">
        <f>'Бизнес-план'!O84</f>
        <v>526724.60554750019</v>
      </c>
      <c r="G6" s="273">
        <f>'Бизнес-план'!T84</f>
        <v>503964.42154750018</v>
      </c>
      <c r="H6" s="273">
        <f>'Бизнес-план'!Y84</f>
        <v>466140.02778749994</v>
      </c>
      <c r="I6" s="273">
        <f>'Бизнес-план'!AD84</f>
        <v>423445.59457149985</v>
      </c>
      <c r="J6" s="273">
        <f>'Бизнес-план'!AI84</f>
        <v>364898.42594429984</v>
      </c>
      <c r="K6" s="273">
        <f>'Бизнес-план'!AN84</f>
        <v>308356.94971889176</v>
      </c>
      <c r="L6" s="273">
        <f>K6*(1+D36)</f>
        <v>292939.10223294713</v>
      </c>
    </row>
    <row r="7" spans="2:12" hidden="1">
      <c r="C7" s="274"/>
      <c r="D7" s="270"/>
      <c r="E7" s="270"/>
      <c r="F7" s="270"/>
      <c r="G7" s="270"/>
      <c r="H7" s="270"/>
      <c r="I7" s="270"/>
      <c r="J7" s="270"/>
      <c r="K7" s="270"/>
      <c r="L7" s="270"/>
    </row>
    <row r="8" spans="2:12">
      <c r="C8" s="275" t="s">
        <v>181</v>
      </c>
      <c r="D8" s="273"/>
      <c r="E8" s="273">
        <f>-САРЕХ!$E$41/10</f>
        <v>-45748.287375</v>
      </c>
      <c r="F8" s="273">
        <f>-САРЕХ!$E$41/10</f>
        <v>-45748.287375</v>
      </c>
      <c r="G8" s="273">
        <f>-САРЕХ!$E$41/10</f>
        <v>-45748.287375</v>
      </c>
      <c r="H8" s="273">
        <f>-САРЕХ!$E$41/10</f>
        <v>-45748.287375</v>
      </c>
      <c r="I8" s="273">
        <f>-САРЕХ!$E$41/10</f>
        <v>-45748.287375</v>
      </c>
      <c r="J8" s="273">
        <f>-САРЕХ!$E$41/10</f>
        <v>-45748.287375</v>
      </c>
      <c r="K8" s="273">
        <f>-САРЕХ!$E$41/10</f>
        <v>-45748.287375</v>
      </c>
      <c r="L8" s="273">
        <f>K8*(1+$D$37)</f>
        <v>-49865.633238750001</v>
      </c>
    </row>
    <row r="9" spans="2:12" hidden="1">
      <c r="C9" s="270"/>
      <c r="D9" s="270"/>
      <c r="E9" s="270"/>
      <c r="F9" s="270"/>
      <c r="G9" s="270"/>
      <c r="H9" s="270"/>
      <c r="I9" s="270"/>
      <c r="J9" s="270"/>
      <c r="K9" s="270"/>
      <c r="L9" s="270"/>
    </row>
    <row r="10" spans="2:12">
      <c r="C10" s="276" t="s">
        <v>182</v>
      </c>
      <c r="D10" s="277"/>
      <c r="E10" s="277">
        <f t="shared" ref="E10:L10" si="0">(E6+E8)*(1-0.2)</f>
        <v>-319948.70187800023</v>
      </c>
      <c r="F10" s="277">
        <f t="shared" si="0"/>
        <v>384781.05453800014</v>
      </c>
      <c r="G10" s="277">
        <f t="shared" si="0"/>
        <v>366572.90733800014</v>
      </c>
      <c r="H10" s="277">
        <f t="shared" si="0"/>
        <v>336313.39232999994</v>
      </c>
      <c r="I10" s="277">
        <f t="shared" si="0"/>
        <v>302157.84575719986</v>
      </c>
      <c r="J10" s="277">
        <f t="shared" si="0"/>
        <v>255320.11085543988</v>
      </c>
      <c r="K10" s="277">
        <f t="shared" si="0"/>
        <v>210086.92987511342</v>
      </c>
      <c r="L10" s="277">
        <f t="shared" si="0"/>
        <v>194458.77519535774</v>
      </c>
    </row>
    <row r="11" spans="2:12" hidden="1">
      <c r="C11" s="274"/>
      <c r="D11" s="270"/>
      <c r="E11" s="270"/>
      <c r="F11" s="270"/>
      <c r="G11" s="270"/>
      <c r="H11" s="270"/>
      <c r="I11" s="270"/>
      <c r="J11" s="270"/>
      <c r="K11" s="270"/>
      <c r="L11" s="270"/>
    </row>
    <row r="12" spans="2:12">
      <c r="C12" s="274" t="s">
        <v>183</v>
      </c>
      <c r="D12" s="273"/>
      <c r="E12" s="273">
        <f>-САРЕХ!E41</f>
        <v>-457482.87374999997</v>
      </c>
      <c r="F12" s="273">
        <f t="shared" ref="F12:K12" si="1">-F4*7%</f>
        <v>-60684.892800000016</v>
      </c>
      <c r="G12" s="273">
        <f t="shared" si="1"/>
        <v>-61101.882800000014</v>
      </c>
      <c r="H12" s="273">
        <f t="shared" si="1"/>
        <v>-60072.70640000001</v>
      </c>
      <c r="I12" s="273">
        <f t="shared" si="1"/>
        <v>-59097.15266</v>
      </c>
      <c r="J12" s="273">
        <f t="shared" si="1"/>
        <v>-56936.125652000002</v>
      </c>
      <c r="K12" s="273">
        <f t="shared" si="1"/>
        <v>-55402.241956879996</v>
      </c>
      <c r="L12" s="273">
        <f>K12*(1+$D$37)</f>
        <v>-60388.4437329992</v>
      </c>
    </row>
    <row r="13" spans="2:12" hidden="1">
      <c r="C13" s="278"/>
      <c r="D13" s="270"/>
      <c r="E13" s="270"/>
      <c r="F13" s="270"/>
      <c r="G13" s="270"/>
      <c r="H13" s="270"/>
      <c r="I13" s="270"/>
      <c r="J13" s="270"/>
      <c r="K13" s="270"/>
      <c r="L13" s="270"/>
    </row>
    <row r="14" spans="2:12">
      <c r="C14" s="279" t="s">
        <v>184</v>
      </c>
      <c r="D14" s="277"/>
      <c r="E14" s="277">
        <f t="shared" ref="E14:K14" si="2">E12+E10-E8</f>
        <v>-731683.28825300024</v>
      </c>
      <c r="F14" s="277">
        <f t="shared" si="2"/>
        <v>369844.44911300013</v>
      </c>
      <c r="G14" s="277">
        <f t="shared" si="2"/>
        <v>351219.31191300013</v>
      </c>
      <c r="H14" s="277">
        <f t="shared" si="2"/>
        <v>321988.97330499993</v>
      </c>
      <c r="I14" s="277">
        <f t="shared" si="2"/>
        <v>288808.98047219985</v>
      </c>
      <c r="J14" s="277">
        <f t="shared" si="2"/>
        <v>244132.27257843991</v>
      </c>
      <c r="K14" s="277">
        <f t="shared" si="2"/>
        <v>200432.97529323341</v>
      </c>
      <c r="L14" s="277">
        <f>SUM(L10,L12:L12)</f>
        <v>134070.33146235853</v>
      </c>
    </row>
    <row r="15" spans="2:12">
      <c r="C15" s="280"/>
      <c r="D15" s="281"/>
      <c r="E15" s="282"/>
      <c r="F15" s="282"/>
      <c r="G15" s="282"/>
      <c r="H15" s="282"/>
      <c r="I15" s="282"/>
      <c r="J15" s="282"/>
      <c r="K15" s="282"/>
      <c r="L15" s="282"/>
    </row>
    <row r="16" spans="2:12" hidden="1">
      <c r="C16" s="280" t="s">
        <v>185</v>
      </c>
      <c r="D16" s="281"/>
      <c r="E16" s="282">
        <v>0</v>
      </c>
      <c r="F16" s="282">
        <v>1</v>
      </c>
      <c r="G16" s="282">
        <f>F16+1</f>
        <v>2</v>
      </c>
      <c r="H16" s="282">
        <f>G16+1</f>
        <v>3</v>
      </c>
      <c r="I16" s="282">
        <f>H16+1</f>
        <v>4</v>
      </c>
      <c r="J16" s="282">
        <f>I16+1</f>
        <v>5</v>
      </c>
      <c r="K16" s="282">
        <f>J16+1</f>
        <v>6</v>
      </c>
      <c r="L16" s="282"/>
    </row>
    <row r="17" spans="3:12" hidden="1">
      <c r="C17" s="280" t="s">
        <v>186</v>
      </c>
      <c r="D17" s="283">
        <v>0.15</v>
      </c>
      <c r="E17" s="284">
        <v>1</v>
      </c>
      <c r="F17" s="284">
        <f t="shared" ref="F17:K17" si="3">(1+$D$17)^-F16</f>
        <v>0.86956521739130443</v>
      </c>
      <c r="G17" s="284">
        <f t="shared" si="3"/>
        <v>0.7561436672967865</v>
      </c>
      <c r="H17" s="284">
        <f t="shared" si="3"/>
        <v>0.65751623243198831</v>
      </c>
      <c r="I17" s="284">
        <f t="shared" si="3"/>
        <v>0.57175324559303342</v>
      </c>
      <c r="J17" s="284">
        <f t="shared" si="3"/>
        <v>0.49717673529828987</v>
      </c>
      <c r="K17" s="284">
        <f t="shared" si="3"/>
        <v>0.43232759591155645</v>
      </c>
      <c r="L17" s="284"/>
    </row>
    <row r="18" spans="3:12">
      <c r="C18" s="280"/>
      <c r="D18" s="283"/>
      <c r="E18" s="285"/>
      <c r="F18" s="284"/>
      <c r="G18" s="284"/>
      <c r="H18" s="284"/>
      <c r="I18" s="284"/>
      <c r="J18" s="284"/>
      <c r="K18" s="284"/>
      <c r="L18" s="284"/>
    </row>
    <row r="19" spans="3:12" hidden="1">
      <c r="C19" s="280"/>
      <c r="D19" s="270"/>
      <c r="E19" s="270"/>
      <c r="F19" s="270"/>
      <c r="G19" s="270"/>
      <c r="H19" s="270"/>
      <c r="I19" s="270"/>
      <c r="J19" s="270"/>
      <c r="K19" s="270"/>
      <c r="L19" s="286"/>
    </row>
    <row r="20" spans="3:12">
      <c r="C20" s="280" t="s">
        <v>187</v>
      </c>
      <c r="D20" s="270"/>
      <c r="E20" s="287">
        <f t="shared" ref="E20:J20" si="4">E17*E14</f>
        <v>-731683.28825300024</v>
      </c>
      <c r="F20" s="287">
        <f t="shared" si="4"/>
        <v>321603.86879391316</v>
      </c>
      <c r="G20" s="287">
        <f t="shared" si="4"/>
        <v>265572.25853534986</v>
      </c>
      <c r="H20" s="287">
        <f t="shared" si="4"/>
        <v>211712.97661214761</v>
      </c>
      <c r="I20" s="287">
        <f t="shared" si="4"/>
        <v>165127.47194139528</v>
      </c>
      <c r="J20" s="287">
        <f t="shared" si="4"/>
        <v>121376.88626150097</v>
      </c>
      <c r="K20" s="287">
        <f>K17*K14</f>
        <v>86652.706349923988</v>
      </c>
      <c r="L20" s="288"/>
    </row>
    <row r="21" spans="3:12">
      <c r="C21" s="280" t="s">
        <v>188</v>
      </c>
      <c r="D21" s="270"/>
      <c r="E21" s="287">
        <f t="shared" ref="E21:J21" si="5">E14</f>
        <v>-731683.28825300024</v>
      </c>
      <c r="F21" s="287">
        <f t="shared" si="5"/>
        <v>369844.44911300013</v>
      </c>
      <c r="G21" s="287">
        <f t="shared" si="5"/>
        <v>351219.31191300013</v>
      </c>
      <c r="H21" s="287">
        <f t="shared" si="5"/>
        <v>321988.97330499993</v>
      </c>
      <c r="I21" s="287">
        <f t="shared" si="5"/>
        <v>288808.98047219985</v>
      </c>
      <c r="J21" s="287">
        <f t="shared" si="5"/>
        <v>244132.27257843991</v>
      </c>
      <c r="K21" s="287">
        <f>K14</f>
        <v>200432.97529323341</v>
      </c>
      <c r="L21" s="287"/>
    </row>
    <row r="22" spans="3:12">
      <c r="C22" s="280"/>
      <c r="D22" s="270"/>
      <c r="E22" s="287"/>
      <c r="F22" s="287"/>
      <c r="G22" s="287"/>
      <c r="H22" s="287"/>
      <c r="I22" s="287"/>
      <c r="J22" s="287"/>
      <c r="K22" s="287"/>
      <c r="L22" s="287"/>
    </row>
    <row r="23" spans="3:12">
      <c r="C23" s="280" t="s">
        <v>214</v>
      </c>
      <c r="D23" s="270"/>
      <c r="E23" s="287">
        <f>E20</f>
        <v>-731683.28825300024</v>
      </c>
      <c r="F23" s="287">
        <f>E23+F20</f>
        <v>-410079.41945908708</v>
      </c>
      <c r="G23" s="287">
        <f t="shared" ref="G23:L24" si="6">F23+G20</f>
        <v>-144507.16092373722</v>
      </c>
      <c r="H23" s="287">
        <f t="shared" si="6"/>
        <v>67205.815688410396</v>
      </c>
      <c r="I23" s="287">
        <f t="shared" si="6"/>
        <v>232333.28762980568</v>
      </c>
      <c r="J23" s="287">
        <f t="shared" si="6"/>
        <v>353710.17389130662</v>
      </c>
      <c r="K23" s="287">
        <f t="shared" si="6"/>
        <v>440362.8802412306</v>
      </c>
      <c r="L23" s="287"/>
    </row>
    <row r="24" spans="3:12">
      <c r="C24" s="280" t="s">
        <v>215</v>
      </c>
      <c r="D24" s="270"/>
      <c r="E24" s="287">
        <f>E21</f>
        <v>-731683.28825300024</v>
      </c>
      <c r="F24" s="287">
        <f>E24+F21</f>
        <v>-361838.83914000011</v>
      </c>
      <c r="G24" s="287">
        <f t="shared" si="6"/>
        <v>-10619.527226999984</v>
      </c>
      <c r="H24" s="287">
        <f t="shared" si="6"/>
        <v>311369.44607799995</v>
      </c>
      <c r="I24" s="287">
        <f t="shared" si="6"/>
        <v>600178.42655019974</v>
      </c>
      <c r="J24" s="287">
        <f t="shared" si="6"/>
        <v>844310.69912863965</v>
      </c>
      <c r="K24" s="287">
        <f t="shared" si="6"/>
        <v>1044743.6744218731</v>
      </c>
      <c r="L24" s="287"/>
    </row>
    <row r="25" spans="3:12" ht="15" thickBot="1">
      <c r="C25" s="289"/>
      <c r="D25" s="286"/>
      <c r="E25" s="288"/>
      <c r="F25" s="287"/>
      <c r="G25" s="287"/>
      <c r="H25" s="287"/>
      <c r="I25" s="287"/>
      <c r="J25" s="287"/>
      <c r="K25" s="287"/>
      <c r="L25" s="287"/>
    </row>
    <row r="26" spans="3:12" ht="15" thickTop="1">
      <c r="C26" s="306" t="s">
        <v>189</v>
      </c>
      <c r="D26" s="307">
        <f>NPV(H26,E21:K21)</f>
        <v>382924.24368802662</v>
      </c>
      <c r="E26" s="308" t="s">
        <v>190</v>
      </c>
      <c r="F26" s="308"/>
      <c r="G26" s="308"/>
      <c r="H26" s="309">
        <v>0.15</v>
      </c>
      <c r="I26" s="306"/>
      <c r="J26" s="307"/>
      <c r="K26" s="308"/>
      <c r="L26" s="308"/>
    </row>
    <row r="27" spans="3:12" ht="15" thickBot="1">
      <c r="C27" s="310" t="s">
        <v>191</v>
      </c>
      <c r="D27" s="311">
        <f>IRR(E21:K21)</f>
        <v>0.3805520830036313</v>
      </c>
      <c r="E27" s="312"/>
      <c r="F27" s="312"/>
      <c r="G27" s="312"/>
      <c r="H27" s="313"/>
      <c r="I27" s="310"/>
      <c r="J27" s="311"/>
      <c r="K27" s="312"/>
      <c r="L27" s="312"/>
    </row>
    <row r="28" spans="3:12" ht="15" thickTop="1">
      <c r="C28" s="290"/>
      <c r="D28" s="286"/>
      <c r="E28" s="286"/>
      <c r="F28" s="270"/>
      <c r="G28" s="270"/>
      <c r="H28" s="270"/>
      <c r="I28" s="270"/>
      <c r="J28" s="270"/>
      <c r="K28" s="270"/>
      <c r="L28" s="270"/>
    </row>
    <row r="29" spans="3:12">
      <c r="C29" s="291" t="s">
        <v>192</v>
      </c>
      <c r="D29" s="292">
        <f>6-SUM(E14:K14)/L14</f>
        <v>-1.7925045983435517</v>
      </c>
      <c r="E29" s="293"/>
      <c r="F29" s="294">
        <f>5-SUM(E14:K14)/K14</f>
        <v>-0.21243409620304821</v>
      </c>
      <c r="G29" s="270"/>
      <c r="H29" s="270"/>
      <c r="I29" s="295" t="s">
        <v>193</v>
      </c>
      <c r="J29" s="296">
        <f>E20</f>
        <v>-731683.28825300024</v>
      </c>
      <c r="K29" s="270"/>
      <c r="L29" s="270"/>
    </row>
    <row r="30" spans="3:12">
      <c r="C30" s="291" t="s">
        <v>194</v>
      </c>
      <c r="D30" s="292">
        <f>J1-SUM(E20:J20)/K20</f>
        <v>0.9180712433499556</v>
      </c>
      <c r="E30" s="293"/>
      <c r="F30" s="294"/>
      <c r="G30" s="270"/>
      <c r="H30" s="270"/>
      <c r="I30" s="295"/>
      <c r="J30" s="296"/>
      <c r="K30" s="270"/>
      <c r="L30" s="270"/>
    </row>
    <row r="31" spans="3:12">
      <c r="D31" s="270"/>
      <c r="E31" s="270"/>
      <c r="F31" s="270"/>
      <c r="G31" s="270"/>
      <c r="H31" s="270"/>
      <c r="I31" s="270"/>
      <c r="J31" s="270"/>
      <c r="K31" s="270"/>
      <c r="L31" s="270"/>
    </row>
    <row r="32" spans="3:12">
      <c r="C32" s="300" t="s">
        <v>200</v>
      </c>
      <c r="D32" s="380">
        <f>L14/D37*J17</f>
        <v>740629.44107572234</v>
      </c>
      <c r="E32" s="270"/>
      <c r="F32" s="270"/>
      <c r="G32" s="270"/>
      <c r="H32" s="270"/>
      <c r="I32" s="270"/>
      <c r="J32" s="270"/>
      <c r="K32" s="270"/>
      <c r="L32" s="270"/>
    </row>
    <row r="33" spans="3:12">
      <c r="C33" s="301" t="s">
        <v>201</v>
      </c>
      <c r="D33" s="381">
        <f>D32+D38</f>
        <v>1180992.3213169528</v>
      </c>
      <c r="E33" s="270"/>
      <c r="F33" s="302"/>
      <c r="G33" s="270"/>
      <c r="H33" s="270"/>
      <c r="I33" s="270"/>
      <c r="J33" s="270"/>
      <c r="K33" s="270"/>
      <c r="L33" s="270"/>
    </row>
    <row r="35" spans="3:12">
      <c r="C35" s="272" t="s">
        <v>195</v>
      </c>
      <c r="D35" s="297"/>
    </row>
    <row r="36" spans="3:12">
      <c r="C36" s="272" t="s">
        <v>196</v>
      </c>
      <c r="D36" s="297">
        <v>-0.05</v>
      </c>
    </row>
    <row r="37" spans="3:12">
      <c r="C37" s="272" t="s">
        <v>197</v>
      </c>
      <c r="D37" s="297">
        <v>0.09</v>
      </c>
    </row>
    <row r="38" spans="3:12">
      <c r="C38" s="298" t="s">
        <v>198</v>
      </c>
      <c r="D38" s="299">
        <f>SUM(E20:K20)</f>
        <v>440362.8802412306</v>
      </c>
    </row>
    <row r="39" spans="3:12">
      <c r="C39" s="298" t="s">
        <v>199</v>
      </c>
      <c r="D39" s="299">
        <f>SUM(E21:K21)</f>
        <v>1044743.6744218731</v>
      </c>
    </row>
  </sheetData>
  <pageMargins left="0.75" right="0.75" top="1" bottom="1" header="0.5" footer="0.5"/>
  <pageSetup paperSize="9" scale="70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V109"/>
  <sheetViews>
    <sheetView view="pageBreakPreview" zoomScaleNormal="85" zoomScaleSheetLayoutView="100" zoomScalePage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baseColWidth="10" defaultColWidth="9.1640625" defaultRowHeight="14" outlineLevelRow="1" outlineLevelCol="1" x14ac:dyDescent="0"/>
  <cols>
    <col min="1" max="1" width="2" style="94" bestFit="1" customWidth="1"/>
    <col min="2" max="2" width="1.1640625" style="93" customWidth="1"/>
    <col min="3" max="3" width="50.33203125" style="94" customWidth="1"/>
    <col min="4" max="4" width="10.83203125" style="94" customWidth="1"/>
    <col min="5" max="5" width="10.83203125" style="121" customWidth="1"/>
    <col min="6" max="6" width="12" style="94" customWidth="1" outlineLevel="1"/>
    <col min="7" max="7" width="11.83203125" style="94" customWidth="1" outlineLevel="1"/>
    <col min="8" max="8" width="13.5" style="94" customWidth="1" outlineLevel="1"/>
    <col min="9" max="9" width="12.6640625" style="94" customWidth="1" outlineLevel="1"/>
    <col min="10" max="10" width="12" style="191" customWidth="1"/>
    <col min="11" max="11" width="12.83203125" style="94" customWidth="1" outlineLevel="1"/>
    <col min="12" max="12" width="12.6640625" style="94" customWidth="1" outlineLevel="1"/>
    <col min="13" max="13" width="12" style="94" customWidth="1" outlineLevel="1"/>
    <col min="14" max="14" width="12.6640625" style="94" customWidth="1" outlineLevel="1"/>
    <col min="15" max="15" width="14.33203125" style="191" customWidth="1"/>
    <col min="16" max="16" width="15.5" style="94" customWidth="1" outlineLevel="1"/>
    <col min="17" max="17" width="13.5" style="94" customWidth="1" outlineLevel="1"/>
    <col min="18" max="19" width="13.1640625" style="94" customWidth="1" outlineLevel="1"/>
    <col min="20" max="20" width="13.1640625" style="191" bestFit="1" customWidth="1"/>
    <col min="21" max="24" width="13.1640625" style="94" customWidth="1" outlineLevel="1"/>
    <col min="25" max="25" width="13.1640625" style="191" customWidth="1"/>
    <col min="26" max="26" width="13.1640625" style="94" customWidth="1" outlineLevel="1"/>
    <col min="27" max="27" width="13" style="94" customWidth="1" outlineLevel="1"/>
    <col min="28" max="28" width="13.33203125" style="94" customWidth="1" outlineLevel="1"/>
    <col min="29" max="29" width="13.83203125" style="94" customWidth="1" outlineLevel="1"/>
    <col min="30" max="30" width="13.6640625" style="211" customWidth="1"/>
    <col min="31" max="31" width="14" style="94" customWidth="1" outlineLevel="1"/>
    <col min="32" max="32" width="13.5" style="94" customWidth="1" outlineLevel="1"/>
    <col min="33" max="33" width="13.83203125" style="94" customWidth="1" outlineLevel="1"/>
    <col min="34" max="34" width="12.83203125" style="94" customWidth="1" outlineLevel="1"/>
    <col min="35" max="35" width="13" style="211" customWidth="1"/>
    <col min="36" max="36" width="13.83203125" style="94" customWidth="1" outlineLevel="1"/>
    <col min="37" max="39" width="13.5" style="94" customWidth="1" outlineLevel="1"/>
    <col min="40" max="40" width="15.1640625" style="211" customWidth="1"/>
    <col min="41" max="41" width="13.83203125" style="94" hidden="1" customWidth="1" outlineLevel="1"/>
    <col min="42" max="44" width="13.5" style="94" hidden="1" customWidth="1" outlineLevel="1"/>
    <col min="45" max="45" width="13" style="94" customWidth="1" collapsed="1"/>
    <col min="46" max="46" width="13.83203125" style="94" hidden="1" customWidth="1" outlineLevel="1"/>
    <col min="47" max="49" width="13.5" style="94" hidden="1" customWidth="1" outlineLevel="1"/>
    <col min="50" max="50" width="13" style="94" customWidth="1" collapsed="1"/>
    <col min="51" max="51" width="13.83203125" style="94" hidden="1" customWidth="1" outlineLevel="1"/>
    <col min="52" max="54" width="13.5" style="94" hidden="1" customWidth="1" outlineLevel="1"/>
    <col min="55" max="55" width="13" style="94" customWidth="1" collapsed="1"/>
    <col min="56" max="56" width="13.83203125" style="94" hidden="1" customWidth="1" outlineLevel="1"/>
    <col min="57" max="59" width="13.5" style="94" hidden="1" customWidth="1" outlineLevel="1"/>
    <col min="60" max="60" width="13" style="94" customWidth="1" collapsed="1"/>
    <col min="61" max="61" width="13.83203125" style="94" hidden="1" customWidth="1" outlineLevel="1"/>
    <col min="62" max="64" width="13.5" style="94" hidden="1" customWidth="1" outlineLevel="1"/>
    <col min="65" max="65" width="13" style="94" customWidth="1" collapsed="1"/>
    <col min="66" max="66" width="13.83203125" style="94" hidden="1" customWidth="1" outlineLevel="1"/>
    <col min="67" max="69" width="13.5" style="94" hidden="1" customWidth="1" outlineLevel="1"/>
    <col min="70" max="70" width="13" style="94" customWidth="1" collapsed="1"/>
    <col min="71" max="71" width="13.83203125" style="94" hidden="1" customWidth="1" outlineLevel="1"/>
    <col min="72" max="73" width="13.5" style="94" hidden="1" customWidth="1" outlineLevel="1"/>
    <col min="74" max="74" width="9.1640625" style="94" collapsed="1"/>
    <col min="75" max="16384" width="9.1640625" style="94"/>
  </cols>
  <sheetData>
    <row r="1" spans="1:73" s="237" customFormat="1" ht="18">
      <c r="A1" s="236" t="s">
        <v>115</v>
      </c>
      <c r="E1" s="238"/>
      <c r="J1" s="235"/>
      <c r="O1" s="235"/>
      <c r="T1" s="235"/>
      <c r="Y1" s="235"/>
      <c r="AD1" s="241"/>
      <c r="AI1" s="241"/>
      <c r="AN1" s="241"/>
    </row>
    <row r="2" spans="1:73" s="127" customFormat="1" ht="15" thickBot="1">
      <c r="C2" s="128"/>
      <c r="D2" s="129"/>
      <c r="E2" s="129">
        <v>2013</v>
      </c>
      <c r="F2" s="130" t="s">
        <v>60</v>
      </c>
      <c r="G2" s="130" t="s">
        <v>61</v>
      </c>
      <c r="H2" s="130" t="s">
        <v>62</v>
      </c>
      <c r="I2" s="130" t="s">
        <v>63</v>
      </c>
      <c r="J2" s="192" t="s">
        <v>111</v>
      </c>
      <c r="K2" s="130" t="s">
        <v>64</v>
      </c>
      <c r="L2" s="130" t="s">
        <v>65</v>
      </c>
      <c r="M2" s="130" t="s">
        <v>112</v>
      </c>
      <c r="N2" s="130" t="s">
        <v>113</v>
      </c>
      <c r="O2" s="192" t="s">
        <v>114</v>
      </c>
      <c r="P2" s="153" t="s">
        <v>116</v>
      </c>
      <c r="Q2" s="153" t="s">
        <v>117</v>
      </c>
      <c r="R2" s="153" t="s">
        <v>118</v>
      </c>
      <c r="S2" s="153" t="s">
        <v>119</v>
      </c>
      <c r="T2" s="209" t="s">
        <v>120</v>
      </c>
      <c r="U2" s="153" t="s">
        <v>121</v>
      </c>
      <c r="V2" s="153" t="s">
        <v>122</v>
      </c>
      <c r="W2" s="153" t="s">
        <v>123</v>
      </c>
      <c r="X2" s="153" t="s">
        <v>124</v>
      </c>
      <c r="Y2" s="209" t="s">
        <v>125</v>
      </c>
      <c r="Z2" s="153" t="s">
        <v>126</v>
      </c>
      <c r="AA2" s="153" t="s">
        <v>127</v>
      </c>
      <c r="AB2" s="153" t="s">
        <v>128</v>
      </c>
      <c r="AC2" s="153" t="s">
        <v>129</v>
      </c>
      <c r="AD2" s="209" t="s">
        <v>130</v>
      </c>
      <c r="AE2" s="153" t="s">
        <v>131</v>
      </c>
      <c r="AF2" s="153" t="s">
        <v>132</v>
      </c>
      <c r="AG2" s="153" t="s">
        <v>133</v>
      </c>
      <c r="AH2" s="153" t="s">
        <v>134</v>
      </c>
      <c r="AI2" s="209" t="s">
        <v>135</v>
      </c>
      <c r="AJ2" s="153" t="s">
        <v>136</v>
      </c>
      <c r="AK2" s="153" t="s">
        <v>137</v>
      </c>
      <c r="AL2" s="153" t="s">
        <v>138</v>
      </c>
      <c r="AM2" s="153" t="s">
        <v>139</v>
      </c>
      <c r="AN2" s="209" t="s">
        <v>140</v>
      </c>
      <c r="AO2" s="130"/>
      <c r="AP2" s="130"/>
      <c r="AQ2" s="130"/>
      <c r="AR2" s="130"/>
      <c r="AS2" s="129"/>
      <c r="AT2" s="130"/>
      <c r="AU2" s="130"/>
      <c r="AV2" s="130"/>
      <c r="AW2" s="130"/>
      <c r="AX2" s="129"/>
      <c r="AY2" s="130"/>
      <c r="AZ2" s="130"/>
      <c r="BA2" s="130"/>
      <c r="BB2" s="130"/>
      <c r="BC2" s="129"/>
      <c r="BD2" s="130"/>
      <c r="BE2" s="130"/>
      <c r="BF2" s="130"/>
      <c r="BG2" s="130"/>
      <c r="BH2" s="129"/>
      <c r="BI2" s="130"/>
      <c r="BJ2" s="130"/>
      <c r="BK2" s="130"/>
      <c r="BL2" s="130"/>
      <c r="BM2" s="129"/>
      <c r="BN2" s="130"/>
      <c r="BO2" s="130"/>
      <c r="BP2" s="130"/>
      <c r="BQ2" s="130"/>
      <c r="BR2" s="129"/>
      <c r="BS2" s="130"/>
      <c r="BT2" s="130"/>
      <c r="BU2" s="130"/>
    </row>
    <row r="3" spans="1:73" s="136" customFormat="1">
      <c r="A3" s="131"/>
      <c r="B3" s="132"/>
      <c r="C3" s="133" t="s">
        <v>82</v>
      </c>
      <c r="D3" s="134"/>
      <c r="E3" s="134"/>
      <c r="F3" s="135"/>
      <c r="G3" s="135"/>
      <c r="H3" s="135"/>
      <c r="I3" s="135"/>
      <c r="J3" s="193"/>
      <c r="K3" s="135"/>
      <c r="L3" s="135"/>
      <c r="M3" s="135"/>
      <c r="N3" s="135"/>
      <c r="O3" s="193"/>
      <c r="P3" s="135"/>
      <c r="Q3" s="135"/>
      <c r="R3" s="135"/>
      <c r="S3" s="135"/>
      <c r="T3" s="193"/>
      <c r="U3" s="135"/>
      <c r="V3" s="135"/>
      <c r="W3" s="135"/>
      <c r="X3" s="135"/>
      <c r="Y3" s="193"/>
      <c r="Z3" s="135"/>
      <c r="AA3" s="135"/>
      <c r="AB3" s="135"/>
      <c r="AC3" s="135"/>
      <c r="AD3" s="193"/>
      <c r="AE3" s="135"/>
      <c r="AF3" s="135"/>
      <c r="AG3" s="135"/>
      <c r="AH3" s="135"/>
      <c r="AI3" s="193"/>
      <c r="AJ3" s="135"/>
      <c r="AK3" s="135"/>
      <c r="AL3" s="135"/>
      <c r="AM3" s="135"/>
      <c r="AN3" s="193"/>
      <c r="AO3" s="135"/>
      <c r="AP3" s="135"/>
      <c r="AQ3" s="135"/>
      <c r="AR3" s="135"/>
      <c r="AS3" s="134"/>
      <c r="AT3" s="135"/>
      <c r="AU3" s="135"/>
      <c r="AV3" s="135"/>
      <c r="AW3" s="135"/>
      <c r="AX3" s="134"/>
      <c r="AY3" s="135"/>
      <c r="AZ3" s="135"/>
      <c r="BA3" s="135"/>
      <c r="BB3" s="135"/>
      <c r="BC3" s="134"/>
      <c r="BD3" s="135"/>
      <c r="BE3" s="135"/>
      <c r="BF3" s="135"/>
      <c r="BG3" s="135"/>
      <c r="BH3" s="134"/>
      <c r="BI3" s="135"/>
      <c r="BJ3" s="135"/>
      <c r="BK3" s="135"/>
      <c r="BL3" s="135"/>
      <c r="BM3" s="134"/>
      <c r="BN3" s="135"/>
      <c r="BO3" s="135"/>
      <c r="BP3" s="135"/>
      <c r="BQ3" s="135"/>
      <c r="BR3" s="134"/>
      <c r="BS3" s="135"/>
      <c r="BT3" s="135"/>
      <c r="BU3" s="135"/>
    </row>
    <row r="4" spans="1:73" s="172" customFormat="1" outlineLevel="1">
      <c r="A4" s="171"/>
      <c r="C4" s="172" t="s">
        <v>149</v>
      </c>
      <c r="E4" s="173">
        <f t="shared" ref="E4:P4" si="0">E8*E13</f>
        <v>0</v>
      </c>
      <c r="F4" s="172">
        <f t="shared" si="0"/>
        <v>16.100000000000001</v>
      </c>
      <c r="G4" s="172">
        <f t="shared" si="0"/>
        <v>80.5</v>
      </c>
      <c r="H4" s="172">
        <f t="shared" si="0"/>
        <v>112.69999999999999</v>
      </c>
      <c r="I4" s="172">
        <f t="shared" si="0"/>
        <v>128.80000000000001</v>
      </c>
      <c r="J4" s="194">
        <f t="shared" si="0"/>
        <v>128.80000000000001</v>
      </c>
      <c r="K4" s="172">
        <f t="shared" si="0"/>
        <v>128.80000000000001</v>
      </c>
      <c r="L4" s="172">
        <f t="shared" si="0"/>
        <v>128.80000000000001</v>
      </c>
      <c r="M4" s="172">
        <f t="shared" si="0"/>
        <v>128.80000000000001</v>
      </c>
      <c r="N4" s="172">
        <f t="shared" si="0"/>
        <v>128.80000000000001</v>
      </c>
      <c r="O4" s="194">
        <f t="shared" si="0"/>
        <v>128.80000000000001</v>
      </c>
      <c r="P4" s="172">
        <f t="shared" si="0"/>
        <v>128.80000000000001</v>
      </c>
      <c r="Q4" s="172">
        <f>Q8*Q13</f>
        <v>128.80000000000001</v>
      </c>
      <c r="R4" s="172">
        <f t="shared" ref="R4:AI4" si="1">R8*R13</f>
        <v>128.80000000000001</v>
      </c>
      <c r="S4" s="172">
        <f t="shared" si="1"/>
        <v>128.80000000000001</v>
      </c>
      <c r="T4" s="194">
        <f t="shared" si="1"/>
        <v>128.80000000000001</v>
      </c>
      <c r="U4" s="172">
        <f t="shared" si="1"/>
        <v>128.80000000000001</v>
      </c>
      <c r="V4" s="172">
        <f t="shared" si="1"/>
        <v>128.80000000000001</v>
      </c>
      <c r="W4" s="172">
        <f t="shared" si="1"/>
        <v>128.80000000000001</v>
      </c>
      <c r="X4" s="172">
        <f t="shared" si="1"/>
        <v>128.80000000000001</v>
      </c>
      <c r="Y4" s="194">
        <f t="shared" si="1"/>
        <v>128.80000000000001</v>
      </c>
      <c r="Z4" s="172">
        <f t="shared" si="1"/>
        <v>128.80000000000001</v>
      </c>
      <c r="AA4" s="172">
        <f t="shared" si="1"/>
        <v>128.80000000000001</v>
      </c>
      <c r="AB4" s="172">
        <f t="shared" si="1"/>
        <v>128.80000000000001</v>
      </c>
      <c r="AC4" s="172">
        <f t="shared" si="1"/>
        <v>128.80000000000001</v>
      </c>
      <c r="AD4" s="212">
        <f t="shared" si="1"/>
        <v>128.80000000000001</v>
      </c>
      <c r="AE4" s="172">
        <f t="shared" si="1"/>
        <v>128.80000000000001</v>
      </c>
      <c r="AF4" s="172">
        <f t="shared" si="1"/>
        <v>128.80000000000001</v>
      </c>
      <c r="AG4" s="172">
        <f t="shared" si="1"/>
        <v>128.80000000000001</v>
      </c>
      <c r="AH4" s="172">
        <f t="shared" si="1"/>
        <v>128.80000000000001</v>
      </c>
      <c r="AI4" s="212">
        <f t="shared" si="1"/>
        <v>128.80000000000001</v>
      </c>
      <c r="AJ4" s="172">
        <f>AJ8*AJ13</f>
        <v>128.80000000000001</v>
      </c>
      <c r="AK4" s="172">
        <f>AK8*AK13</f>
        <v>128.80000000000001</v>
      </c>
      <c r="AL4" s="172">
        <f>AL8*AL13</f>
        <v>128.80000000000001</v>
      </c>
      <c r="AM4" s="172">
        <f>AM8*AM13</f>
        <v>128.80000000000001</v>
      </c>
      <c r="AN4" s="212">
        <f>AN8*AN13</f>
        <v>128.80000000000001</v>
      </c>
    </row>
    <row r="5" spans="1:73" s="179" customFormat="1" ht="12" outlineLevel="1">
      <c r="A5" s="174"/>
      <c r="B5" s="175"/>
      <c r="C5" s="176" t="s">
        <v>151</v>
      </c>
      <c r="D5" s="177"/>
      <c r="E5" s="178"/>
      <c r="F5" s="177">
        <f>F4*0%</f>
        <v>0</v>
      </c>
      <c r="G5" s="177">
        <f>G4*0%</f>
        <v>0</v>
      </c>
      <c r="H5" s="177">
        <f>H4*0%</f>
        <v>0</v>
      </c>
      <c r="I5" s="177">
        <f>I4*0%</f>
        <v>0</v>
      </c>
      <c r="J5" s="195">
        <f>SUM(F5:I5)</f>
        <v>0</v>
      </c>
      <c r="K5" s="177">
        <f>K4*0%</f>
        <v>0</v>
      </c>
      <c r="L5" s="177">
        <f>L4*0%</f>
        <v>0</v>
      </c>
      <c r="M5" s="177">
        <f>M4*0%</f>
        <v>0</v>
      </c>
      <c r="N5" s="177">
        <f>N4*0%</f>
        <v>0</v>
      </c>
      <c r="O5" s="195">
        <f>SUM(K5:N5)</f>
        <v>0</v>
      </c>
      <c r="P5" s="177">
        <f>P4*0%</f>
        <v>0</v>
      </c>
      <c r="Q5" s="177">
        <f>Q4*0%</f>
        <v>0</v>
      </c>
      <c r="R5" s="177">
        <f>R4*0%</f>
        <v>0</v>
      </c>
      <c r="S5" s="177">
        <f>S4*0%</f>
        <v>0</v>
      </c>
      <c r="T5" s="195">
        <f>SUM(P5:S5)</f>
        <v>0</v>
      </c>
      <c r="U5" s="177">
        <f>U4*0%</f>
        <v>0</v>
      </c>
      <c r="V5" s="177">
        <f>V4*0%</f>
        <v>0</v>
      </c>
      <c r="W5" s="177">
        <f>W4*0%</f>
        <v>0</v>
      </c>
      <c r="X5" s="177">
        <f>X4*0%</f>
        <v>0</v>
      </c>
      <c r="Y5" s="195">
        <f>SUM(U5:X5)</f>
        <v>0</v>
      </c>
      <c r="Z5" s="177">
        <f>Z4*0%</f>
        <v>0</v>
      </c>
      <c r="AA5" s="177">
        <f>AA4*0%</f>
        <v>0</v>
      </c>
      <c r="AB5" s="177">
        <f>AB4*0%</f>
        <v>0</v>
      </c>
      <c r="AC5" s="177">
        <f>AC4*0%</f>
        <v>0</v>
      </c>
      <c r="AD5" s="210">
        <f>SUM(Z5:AC5)</f>
        <v>0</v>
      </c>
      <c r="AE5" s="177">
        <f>AE4*0%</f>
        <v>0</v>
      </c>
      <c r="AF5" s="177">
        <f>AF4*0%</f>
        <v>0</v>
      </c>
      <c r="AG5" s="177">
        <f>AG4*0%</f>
        <v>0</v>
      </c>
      <c r="AH5" s="177">
        <f>AH4*0%</f>
        <v>0</v>
      </c>
      <c r="AI5" s="210">
        <f>SUM(AE5:AH5)</f>
        <v>0</v>
      </c>
      <c r="AJ5" s="177">
        <f>AJ4*0%</f>
        <v>0</v>
      </c>
      <c r="AK5" s="177">
        <f>AK4*0%</f>
        <v>0</v>
      </c>
      <c r="AL5" s="177">
        <f>AL4*0%</f>
        <v>0</v>
      </c>
      <c r="AM5" s="177">
        <f>AM4*0%</f>
        <v>0</v>
      </c>
      <c r="AN5" s="210">
        <f>SUM(AJ5:AM5)</f>
        <v>0</v>
      </c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</row>
    <row r="6" spans="1:73" s="179" customFormat="1" ht="12" outlineLevel="1">
      <c r="A6" s="174"/>
      <c r="B6" s="175"/>
      <c r="C6" s="176" t="s">
        <v>150</v>
      </c>
      <c r="D6" s="177"/>
      <c r="E6" s="178"/>
      <c r="F6" s="177">
        <f t="shared" ref="F6:G6" si="2">F4-E4+F5</f>
        <v>16.100000000000001</v>
      </c>
      <c r="G6" s="177">
        <f t="shared" si="2"/>
        <v>64.400000000000006</v>
      </c>
      <c r="H6" s="177">
        <f>H4-G4+H5</f>
        <v>32.199999999999989</v>
      </c>
      <c r="I6" s="177">
        <f>I4-H4+I5</f>
        <v>16.100000000000023</v>
      </c>
      <c r="J6" s="195">
        <f>J4-E4+J5</f>
        <v>128.80000000000001</v>
      </c>
      <c r="K6" s="177">
        <f>K4-J4+K5</f>
        <v>0</v>
      </c>
      <c r="L6" s="177">
        <f>L4-K4+L5</f>
        <v>0</v>
      </c>
      <c r="M6" s="177">
        <f>M4-L4+M5</f>
        <v>0</v>
      </c>
      <c r="N6" s="177">
        <f>N4-M4+N5</f>
        <v>0</v>
      </c>
      <c r="O6" s="195">
        <f>O4-J4+O5</f>
        <v>0</v>
      </c>
      <c r="P6" s="177">
        <f>P4-O4+P5</f>
        <v>0</v>
      </c>
      <c r="Q6" s="177">
        <f>Q4-P4+Q5</f>
        <v>0</v>
      </c>
      <c r="R6" s="177">
        <f>R4-Q4+R5</f>
        <v>0</v>
      </c>
      <c r="S6" s="177">
        <f>S4-R4+S5</f>
        <v>0</v>
      </c>
      <c r="T6" s="195">
        <f>T4-O4+T5</f>
        <v>0</v>
      </c>
      <c r="U6" s="177">
        <f>U4-T4+U5</f>
        <v>0</v>
      </c>
      <c r="V6" s="177">
        <f>V4-U4+V5</f>
        <v>0</v>
      </c>
      <c r="W6" s="177">
        <f>W4-V4+W5</f>
        <v>0</v>
      </c>
      <c r="X6" s="177">
        <f>X4-W4+X5</f>
        <v>0</v>
      </c>
      <c r="Y6" s="195">
        <f>Y4-T4+Y5</f>
        <v>0</v>
      </c>
      <c r="Z6" s="177">
        <f>Z4-X4+Z5</f>
        <v>0</v>
      </c>
      <c r="AA6" s="177">
        <f>AA4-Z4+AA5</f>
        <v>0</v>
      </c>
      <c r="AB6" s="177">
        <f>AB4-AA4+AB5</f>
        <v>0</v>
      </c>
      <c r="AC6" s="177">
        <f>AC4-AB4+AC5</f>
        <v>0</v>
      </c>
      <c r="AD6" s="210">
        <f>AD4-Y4+AD5</f>
        <v>0</v>
      </c>
      <c r="AE6" s="177">
        <f>AE4-AD4+AE5</f>
        <v>0</v>
      </c>
      <c r="AF6" s="177">
        <f>AF4-AE4+AF5</f>
        <v>0</v>
      </c>
      <c r="AG6" s="177">
        <f>AG4-AF4+AG5</f>
        <v>0</v>
      </c>
      <c r="AH6" s="177">
        <f>AH4-AG4+AH5</f>
        <v>0</v>
      </c>
      <c r="AI6" s="210">
        <f>AI4-AD4+AI5</f>
        <v>0</v>
      </c>
      <c r="AJ6" s="177">
        <f>AJ4-AI4+AJ5</f>
        <v>0</v>
      </c>
      <c r="AK6" s="177">
        <f>AK4-AJ4+AK5</f>
        <v>0</v>
      </c>
      <c r="AL6" s="177">
        <f>AL4-AK4+AL5</f>
        <v>0</v>
      </c>
      <c r="AM6" s="177">
        <f>AM4-AL4+AM5</f>
        <v>0</v>
      </c>
      <c r="AN6" s="210">
        <f>AN4-AI4+AN5</f>
        <v>0</v>
      </c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</row>
    <row r="7" spans="1:73" s="179" customFormat="1" ht="12" outlineLevel="1">
      <c r="A7" s="174"/>
      <c r="B7" s="175"/>
      <c r="C7" s="176" t="s">
        <v>110</v>
      </c>
      <c r="D7" s="177"/>
      <c r="E7" s="178"/>
      <c r="F7" s="177">
        <v>1000</v>
      </c>
      <c r="G7" s="177">
        <v>1000</v>
      </c>
      <c r="H7" s="177">
        <v>1000</v>
      </c>
      <c r="I7" s="177">
        <v>1000</v>
      </c>
      <c r="J7" s="177">
        <v>1000</v>
      </c>
      <c r="K7" s="177">
        <v>7500</v>
      </c>
      <c r="L7" s="177">
        <v>7500</v>
      </c>
      <c r="M7" s="177">
        <v>7500</v>
      </c>
      <c r="N7" s="177">
        <v>7500</v>
      </c>
      <c r="O7" s="195">
        <v>7500</v>
      </c>
      <c r="P7" s="177">
        <v>7500</v>
      </c>
      <c r="Q7" s="177">
        <v>7500</v>
      </c>
      <c r="R7" s="177">
        <v>7500</v>
      </c>
      <c r="S7" s="177">
        <v>7500</v>
      </c>
      <c r="T7" s="195">
        <v>7500</v>
      </c>
      <c r="U7" s="177">
        <v>7500</v>
      </c>
      <c r="V7" s="177">
        <v>7500</v>
      </c>
      <c r="W7" s="177">
        <v>7500</v>
      </c>
      <c r="X7" s="177">
        <v>7500</v>
      </c>
      <c r="Y7" s="195">
        <v>7500</v>
      </c>
      <c r="Z7" s="177">
        <v>7500</v>
      </c>
      <c r="AA7" s="177">
        <v>7500</v>
      </c>
      <c r="AB7" s="177">
        <v>7500</v>
      </c>
      <c r="AC7" s="177">
        <v>7500</v>
      </c>
      <c r="AD7" s="195">
        <v>7500</v>
      </c>
      <c r="AE7" s="177">
        <v>7500</v>
      </c>
      <c r="AF7" s="177">
        <v>7500</v>
      </c>
      <c r="AG7" s="177">
        <v>7500</v>
      </c>
      <c r="AH7" s="177">
        <v>7500</v>
      </c>
      <c r="AI7" s="195">
        <v>7500</v>
      </c>
      <c r="AJ7" s="177">
        <v>7500</v>
      </c>
      <c r="AK7" s="177">
        <v>7500</v>
      </c>
      <c r="AL7" s="177">
        <v>7500</v>
      </c>
      <c r="AM7" s="177">
        <v>7500</v>
      </c>
      <c r="AN7" s="195">
        <v>7500</v>
      </c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</row>
    <row r="8" spans="1:73" s="332" customFormat="1" outlineLevel="1">
      <c r="A8" s="324"/>
      <c r="B8" s="325"/>
      <c r="C8" s="326" t="s">
        <v>72</v>
      </c>
      <c r="D8" s="327"/>
      <c r="E8" s="328">
        <v>0</v>
      </c>
      <c r="F8" s="327">
        <v>0.1</v>
      </c>
      <c r="G8" s="327">
        <v>0.5</v>
      </c>
      <c r="H8" s="327">
        <v>0.7</v>
      </c>
      <c r="I8" s="329">
        <v>0.8</v>
      </c>
      <c r="J8" s="330">
        <f>I8</f>
        <v>0.8</v>
      </c>
      <c r="K8" s="327">
        <v>0.8</v>
      </c>
      <c r="L8" s="327">
        <v>0.8</v>
      </c>
      <c r="M8" s="327">
        <v>0.8</v>
      </c>
      <c r="N8" s="329">
        <v>0.8</v>
      </c>
      <c r="O8" s="330">
        <f>N8</f>
        <v>0.8</v>
      </c>
      <c r="P8" s="327">
        <v>0.8</v>
      </c>
      <c r="Q8" s="327">
        <v>0.8</v>
      </c>
      <c r="R8" s="327">
        <v>0.8</v>
      </c>
      <c r="S8" s="329">
        <v>0.8</v>
      </c>
      <c r="T8" s="330">
        <f>S8</f>
        <v>0.8</v>
      </c>
      <c r="U8" s="327">
        <v>0.8</v>
      </c>
      <c r="V8" s="327">
        <v>0.8</v>
      </c>
      <c r="W8" s="327">
        <v>0.8</v>
      </c>
      <c r="X8" s="329">
        <v>0.8</v>
      </c>
      <c r="Y8" s="330">
        <f>X8</f>
        <v>0.8</v>
      </c>
      <c r="Z8" s="327">
        <v>0.8</v>
      </c>
      <c r="AA8" s="327">
        <v>0.8</v>
      </c>
      <c r="AB8" s="327">
        <v>0.8</v>
      </c>
      <c r="AC8" s="329">
        <v>0.8</v>
      </c>
      <c r="AD8" s="331">
        <f>AC8</f>
        <v>0.8</v>
      </c>
      <c r="AE8" s="327">
        <v>0.8</v>
      </c>
      <c r="AF8" s="327">
        <v>0.8</v>
      </c>
      <c r="AG8" s="327">
        <v>0.8</v>
      </c>
      <c r="AH8" s="329">
        <v>0.8</v>
      </c>
      <c r="AI8" s="331">
        <f>AH8</f>
        <v>0.8</v>
      </c>
      <c r="AJ8" s="327">
        <v>0.8</v>
      </c>
      <c r="AK8" s="327">
        <v>0.8</v>
      </c>
      <c r="AL8" s="327">
        <v>0.8</v>
      </c>
      <c r="AM8" s="329">
        <v>0.8</v>
      </c>
      <c r="AN8" s="331">
        <f>AM8</f>
        <v>0.8</v>
      </c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7"/>
      <c r="BE8" s="327"/>
      <c r="BF8" s="327"/>
      <c r="BG8" s="327"/>
      <c r="BH8" s="327"/>
      <c r="BI8" s="327"/>
      <c r="BJ8" s="327"/>
      <c r="BK8" s="327"/>
      <c r="BL8" s="327"/>
      <c r="BM8" s="327"/>
      <c r="BN8" s="327"/>
      <c r="BO8" s="327"/>
      <c r="BP8" s="327"/>
      <c r="BQ8" s="327"/>
      <c r="BR8" s="327"/>
      <c r="BS8" s="327"/>
      <c r="BT8" s="327"/>
      <c r="BU8" s="327"/>
    </row>
    <row r="9" spans="1:73" s="185" customFormat="1">
      <c r="A9" s="180"/>
      <c r="B9" s="181"/>
      <c r="C9" s="182" t="s">
        <v>146</v>
      </c>
      <c r="D9" s="183"/>
      <c r="E9" s="184"/>
      <c r="F9" s="185">
        <f>(F7*F6)+F10*3*(E4+F4)/2</f>
        <v>28175.000000000004</v>
      </c>
      <c r="G9" s="185">
        <f t="shared" ref="G9:I9" si="3">(G7*G6)+G10*3*(F4+G4)/2</f>
        <v>136850</v>
      </c>
      <c r="H9" s="185">
        <f t="shared" si="3"/>
        <v>177100</v>
      </c>
      <c r="I9" s="185">
        <f t="shared" si="3"/>
        <v>197225.00000000003</v>
      </c>
      <c r="J9" s="196">
        <f>SUM(F9:I9)</f>
        <v>539350</v>
      </c>
      <c r="K9" s="185">
        <f>(K7*K6)+K10*3*(J4+K4)/2</f>
        <v>193200.00000000003</v>
      </c>
      <c r="L9" s="185">
        <f t="shared" ref="L9" si="4">(L7*L6)+L10*3*(K4+L4)/2</f>
        <v>193200.00000000003</v>
      </c>
      <c r="M9" s="185">
        <f t="shared" ref="M9" si="5">(M7*M6)+M10*3*(L4+M4)/2</f>
        <v>193200.00000000003</v>
      </c>
      <c r="N9" s="185">
        <f t="shared" ref="N9" si="6">(N7*N6)+N10*3*(M4+N4)/2</f>
        <v>193200.00000000003</v>
      </c>
      <c r="O9" s="196">
        <f>SUM(K9:N9)</f>
        <v>772800.00000000012</v>
      </c>
      <c r="P9" s="185">
        <f>(P7*P6)+P10*3*(O4+P4)/2</f>
        <v>190302.00000000003</v>
      </c>
      <c r="Q9" s="185">
        <f t="shared" ref="Q9" si="7">(Q7*Q6)+Q10*3*(P4+Q4)/2</f>
        <v>190302.00000000003</v>
      </c>
      <c r="R9" s="185">
        <f t="shared" ref="R9" si="8">(R7*R6)+R10*3*(Q4+R4)/2</f>
        <v>190302.00000000003</v>
      </c>
      <c r="S9" s="185">
        <f t="shared" ref="S9" si="9">(S7*S6)+S10*3*(R4+S4)/2</f>
        <v>190302.00000000003</v>
      </c>
      <c r="T9" s="196">
        <f>SUM(P9:S9)</f>
        <v>761208.00000000012</v>
      </c>
      <c r="U9" s="185">
        <f>(U7*U6)+U10*3*(T4+U4)/2</f>
        <v>185544.45</v>
      </c>
      <c r="V9" s="185">
        <f t="shared" ref="V9" si="10">(V7*V6)+V10*3*(U4+V4)/2</f>
        <v>185544.45</v>
      </c>
      <c r="W9" s="185">
        <f t="shared" ref="W9" si="11">(W7*W6)+W10*3*(V4+W4)/2</f>
        <v>185544.45</v>
      </c>
      <c r="X9" s="185">
        <f t="shared" ref="X9" si="12">(X7*X6)+X10*3*(W4+X4)/2</f>
        <v>185544.45</v>
      </c>
      <c r="Y9" s="196">
        <f>SUM(U9:X9)</f>
        <v>742177.8</v>
      </c>
      <c r="Z9" s="185">
        <f>(Z7*Z6)+Z10*3*(Y4+Z4)/2</f>
        <v>178122.67199999999</v>
      </c>
      <c r="AA9" s="185">
        <f t="shared" ref="AA9" si="13">(AA7*AA6)+AA10*3*(Z4+AA4)/2</f>
        <v>178122.67199999999</v>
      </c>
      <c r="AB9" s="185">
        <f t="shared" ref="AB9" si="14">(AB7*AB6)+AB10*3*(AA4+AB4)/2</f>
        <v>178122.67199999999</v>
      </c>
      <c r="AC9" s="185">
        <f t="shared" ref="AC9" si="15">(AC7*AC6)+AC10*3*(AB4+AC4)/2</f>
        <v>178122.67199999999</v>
      </c>
      <c r="AD9" s="196">
        <f>SUM(Z9:AC9)</f>
        <v>712490.68799999997</v>
      </c>
      <c r="AE9" s="185">
        <f>(AE7*AE6)+AE10*3*(AD4+AE4)/2</f>
        <v>169216.53839999996</v>
      </c>
      <c r="AF9" s="185">
        <f t="shared" ref="AF9" si="16">(AF7*AF6)+AF10*3*(AE4+AF4)/2</f>
        <v>169216.53839999996</v>
      </c>
      <c r="AG9" s="185">
        <f t="shared" ref="AG9" si="17">(AG7*AG6)+AG10*3*(AF4+AG4)/2</f>
        <v>169216.53839999996</v>
      </c>
      <c r="AH9" s="185">
        <f t="shared" ref="AH9" si="18">(AH7*AH6)+AH10*3*(AG4+AH4)/2</f>
        <v>169216.53839999996</v>
      </c>
      <c r="AI9" s="196">
        <f>SUM(AE9:AH9)</f>
        <v>676866.15359999985</v>
      </c>
      <c r="AJ9" s="185">
        <f>(AJ7*AJ6)+AJ10*3*(AI4+AJ4)/2</f>
        <v>159063.54609599998</v>
      </c>
      <c r="AK9" s="185">
        <f t="shared" ref="AK9" si="19">(AK7*AK6)+AK10*3*(AJ4+AK4)/2</f>
        <v>159063.54609599998</v>
      </c>
      <c r="AL9" s="185">
        <f t="shared" ref="AL9" si="20">(AL7*AL6)+AL10*3*(AK4+AL4)/2</f>
        <v>159063.54609599998</v>
      </c>
      <c r="AM9" s="185">
        <f t="shared" ref="AM9" si="21">(AM7*AM6)+AM10*3*(AL4+AM4)/2</f>
        <v>159063.54609599998</v>
      </c>
      <c r="AN9" s="196">
        <f>SUM(AJ9:AM9)</f>
        <v>636254.18438399991</v>
      </c>
    </row>
    <row r="10" spans="1:73" s="332" customFormat="1" ht="15" thickBot="1">
      <c r="A10" s="324"/>
      <c r="B10" s="325"/>
      <c r="C10" s="333" t="s">
        <v>73</v>
      </c>
      <c r="D10" s="334"/>
      <c r="E10" s="335"/>
      <c r="F10" s="334">
        <v>500</v>
      </c>
      <c r="G10" s="334">
        <v>500</v>
      </c>
      <c r="H10" s="334">
        <v>500</v>
      </c>
      <c r="I10" s="334">
        <f>H10</f>
        <v>500</v>
      </c>
      <c r="J10" s="336">
        <f>I10</f>
        <v>500</v>
      </c>
      <c r="K10" s="334">
        <f t="shared" ref="K10:AN10" si="22">J10</f>
        <v>500</v>
      </c>
      <c r="L10" s="334">
        <f t="shared" si="22"/>
        <v>500</v>
      </c>
      <c r="M10" s="334">
        <f>L10</f>
        <v>500</v>
      </c>
      <c r="N10" s="334">
        <f t="shared" si="22"/>
        <v>500</v>
      </c>
      <c r="O10" s="336">
        <f t="shared" si="22"/>
        <v>500</v>
      </c>
      <c r="P10" s="334">
        <f>O10*0.985</f>
        <v>492.5</v>
      </c>
      <c r="Q10" s="334">
        <f t="shared" si="22"/>
        <v>492.5</v>
      </c>
      <c r="R10" s="334">
        <f t="shared" si="22"/>
        <v>492.5</v>
      </c>
      <c r="S10" s="334">
        <f t="shared" si="22"/>
        <v>492.5</v>
      </c>
      <c r="T10" s="336">
        <f t="shared" si="22"/>
        <v>492.5</v>
      </c>
      <c r="U10" s="334">
        <f>T10*0.975</f>
        <v>480.1875</v>
      </c>
      <c r="V10" s="334">
        <f t="shared" si="22"/>
        <v>480.1875</v>
      </c>
      <c r="W10" s="334">
        <f t="shared" si="22"/>
        <v>480.1875</v>
      </c>
      <c r="X10" s="334">
        <f t="shared" si="22"/>
        <v>480.1875</v>
      </c>
      <c r="Y10" s="336">
        <f t="shared" si="22"/>
        <v>480.1875</v>
      </c>
      <c r="Z10" s="334">
        <f>Y10*0.96</f>
        <v>460.97999999999996</v>
      </c>
      <c r="AA10" s="334">
        <f t="shared" si="22"/>
        <v>460.97999999999996</v>
      </c>
      <c r="AB10" s="334">
        <f t="shared" si="22"/>
        <v>460.97999999999996</v>
      </c>
      <c r="AC10" s="334">
        <f t="shared" si="22"/>
        <v>460.97999999999996</v>
      </c>
      <c r="AD10" s="337">
        <f t="shared" si="22"/>
        <v>460.97999999999996</v>
      </c>
      <c r="AE10" s="334">
        <f>AD10*0.95</f>
        <v>437.93099999999993</v>
      </c>
      <c r="AF10" s="334">
        <f t="shared" si="22"/>
        <v>437.93099999999993</v>
      </c>
      <c r="AG10" s="334">
        <f t="shared" si="22"/>
        <v>437.93099999999993</v>
      </c>
      <c r="AH10" s="334">
        <f t="shared" si="22"/>
        <v>437.93099999999993</v>
      </c>
      <c r="AI10" s="337">
        <f t="shared" si="22"/>
        <v>437.93099999999993</v>
      </c>
      <c r="AJ10" s="334">
        <f>AI10*0.94</f>
        <v>411.6551399999999</v>
      </c>
      <c r="AK10" s="334">
        <f t="shared" si="22"/>
        <v>411.6551399999999</v>
      </c>
      <c r="AL10" s="334">
        <f t="shared" si="22"/>
        <v>411.6551399999999</v>
      </c>
      <c r="AM10" s="334">
        <f t="shared" si="22"/>
        <v>411.6551399999999</v>
      </c>
      <c r="AN10" s="337">
        <f t="shared" si="22"/>
        <v>411.6551399999999</v>
      </c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</row>
    <row r="11" spans="1:73" s="140" customFormat="1" hidden="1">
      <c r="A11" s="137"/>
      <c r="B11" s="138"/>
      <c r="C11" s="139" t="s">
        <v>74</v>
      </c>
      <c r="D11" s="141"/>
      <c r="E11" s="156"/>
      <c r="F11" s="141"/>
      <c r="G11" s="141">
        <f t="shared" ref="G11:L11" si="23">G4/F4-1</f>
        <v>4</v>
      </c>
      <c r="H11" s="141">
        <f t="shared" si="23"/>
        <v>0.39999999999999991</v>
      </c>
      <c r="I11" s="141">
        <f t="shared" si="23"/>
        <v>0.14285714285714302</v>
      </c>
      <c r="J11" s="197">
        <f t="shared" si="23"/>
        <v>0</v>
      </c>
      <c r="K11" s="141">
        <f t="shared" si="23"/>
        <v>0</v>
      </c>
      <c r="L11" s="141">
        <f t="shared" si="23"/>
        <v>0</v>
      </c>
      <c r="M11" s="141">
        <f>M4/L4-1</f>
        <v>0</v>
      </c>
      <c r="N11" s="141">
        <f>N4/M4-1</f>
        <v>0</v>
      </c>
      <c r="O11" s="198"/>
      <c r="P11" s="141">
        <f>P4/O4-1</f>
        <v>0</v>
      </c>
      <c r="Q11" s="141">
        <f>Q4/P4-1</f>
        <v>0</v>
      </c>
      <c r="R11" s="141">
        <f>R4/Q4-1</f>
        <v>0</v>
      </c>
      <c r="S11" s="141">
        <f>S4/R4-1</f>
        <v>0</v>
      </c>
      <c r="T11" s="198">
        <f>T4/O4-1</f>
        <v>0</v>
      </c>
      <c r="U11" s="142">
        <f>U4/T4-1</f>
        <v>0</v>
      </c>
      <c r="V11" s="142">
        <f>V4/U4-1</f>
        <v>0</v>
      </c>
      <c r="W11" s="142">
        <f>W4/V4-1</f>
        <v>0</v>
      </c>
      <c r="X11" s="142">
        <f>X4/W4-1</f>
        <v>0</v>
      </c>
      <c r="Y11" s="198">
        <f>Y4/T4-1</f>
        <v>0</v>
      </c>
      <c r="Z11" s="142">
        <f>Z4/Y4-1</f>
        <v>0</v>
      </c>
      <c r="AA11" s="142">
        <f>AA4/Z4-1</f>
        <v>0</v>
      </c>
      <c r="AB11" s="142">
        <f>AB4/AA4-1</f>
        <v>0</v>
      </c>
      <c r="AC11" s="142">
        <f>AC4/AB4-1</f>
        <v>0</v>
      </c>
      <c r="AD11" s="213">
        <f>AD4/Y4-1</f>
        <v>0</v>
      </c>
      <c r="AE11" s="142">
        <f>AE4/AD4-1</f>
        <v>0</v>
      </c>
      <c r="AF11" s="142">
        <f>AF4/AE4-1</f>
        <v>0</v>
      </c>
      <c r="AG11" s="142">
        <f>AG4/AF4-1</f>
        <v>0</v>
      </c>
      <c r="AH11" s="142">
        <f>AH4/AG4-1</f>
        <v>0</v>
      </c>
      <c r="AI11" s="213">
        <f>AI4/AD4-1</f>
        <v>0</v>
      </c>
      <c r="AJ11" s="142">
        <f>AJ4/AI4-1</f>
        <v>0</v>
      </c>
      <c r="AK11" s="142">
        <f>AK4/AJ4-1</f>
        <v>0</v>
      </c>
      <c r="AL11" s="142">
        <f>AL4/AK4-1</f>
        <v>0</v>
      </c>
      <c r="AM11" s="142">
        <f>AM4/AL4-1</f>
        <v>0</v>
      </c>
      <c r="AN11" s="213">
        <f>AN4/AI4-1</f>
        <v>0</v>
      </c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</row>
    <row r="12" spans="1:73" s="140" customFormat="1" hidden="1">
      <c r="A12" s="137"/>
      <c r="B12" s="138"/>
      <c r="C12" s="139" t="s">
        <v>75</v>
      </c>
      <c r="D12" s="141"/>
      <c r="E12" s="156"/>
      <c r="F12" s="141"/>
      <c r="G12" s="141"/>
      <c r="H12" s="141"/>
      <c r="I12" s="141"/>
      <c r="J12" s="198"/>
      <c r="K12" s="141">
        <f>IF(F9=0,0,K9/F9-1)</f>
        <v>5.8571428571428577</v>
      </c>
      <c r="L12" s="141">
        <f>IF(G9=0,0,L9/G9-1)</f>
        <v>0.41176470588235325</v>
      </c>
      <c r="M12" s="141">
        <f>IF(H9=0,0,M9/H9-1)</f>
        <v>9.090909090909105E-2</v>
      </c>
      <c r="N12" s="141">
        <f>N9/I9-1</f>
        <v>-2.0408163265306145E-2</v>
      </c>
      <c r="O12" s="198"/>
      <c r="P12" s="141">
        <f t="shared" ref="P12:AI12" si="24">P9/K9-1</f>
        <v>-1.5000000000000013E-2</v>
      </c>
      <c r="Q12" s="141">
        <f t="shared" si="24"/>
        <v>-1.5000000000000013E-2</v>
      </c>
      <c r="R12" s="141">
        <f t="shared" si="24"/>
        <v>-1.5000000000000013E-2</v>
      </c>
      <c r="S12" s="141">
        <f t="shared" si="24"/>
        <v>-1.5000000000000013E-2</v>
      </c>
      <c r="T12" s="198">
        <f>T9/O9-1</f>
        <v>-1.5000000000000013E-2</v>
      </c>
      <c r="U12" s="142">
        <f t="shared" si="24"/>
        <v>-2.5000000000000133E-2</v>
      </c>
      <c r="V12" s="142">
        <f t="shared" si="24"/>
        <v>-2.5000000000000133E-2</v>
      </c>
      <c r="W12" s="142">
        <f t="shared" si="24"/>
        <v>-2.5000000000000133E-2</v>
      </c>
      <c r="X12" s="142">
        <f t="shared" si="24"/>
        <v>-2.5000000000000133E-2</v>
      </c>
      <c r="Y12" s="198">
        <f t="shared" si="24"/>
        <v>-2.5000000000000133E-2</v>
      </c>
      <c r="Z12" s="142">
        <f t="shared" si="24"/>
        <v>-4.0000000000000147E-2</v>
      </c>
      <c r="AA12" s="142">
        <f t="shared" si="24"/>
        <v>-4.0000000000000147E-2</v>
      </c>
      <c r="AB12" s="142">
        <f t="shared" si="24"/>
        <v>-4.0000000000000147E-2</v>
      </c>
      <c r="AC12" s="142">
        <f t="shared" si="24"/>
        <v>-4.0000000000000147E-2</v>
      </c>
      <c r="AD12" s="213">
        <f t="shared" si="24"/>
        <v>-4.0000000000000147E-2</v>
      </c>
      <c r="AE12" s="142">
        <f t="shared" si="24"/>
        <v>-5.0000000000000155E-2</v>
      </c>
      <c r="AF12" s="142">
        <f t="shared" si="24"/>
        <v>-5.0000000000000155E-2</v>
      </c>
      <c r="AG12" s="142">
        <f t="shared" si="24"/>
        <v>-5.0000000000000155E-2</v>
      </c>
      <c r="AH12" s="142">
        <f t="shared" si="24"/>
        <v>-5.0000000000000155E-2</v>
      </c>
      <c r="AI12" s="213">
        <f t="shared" si="24"/>
        <v>-5.0000000000000155E-2</v>
      </c>
      <c r="AJ12" s="142">
        <f>AJ9/AE9-1</f>
        <v>-5.9999999999999942E-2</v>
      </c>
      <c r="AK12" s="142">
        <f>AK9/AF9-1</f>
        <v>-5.9999999999999942E-2</v>
      </c>
      <c r="AL12" s="142">
        <f>AL9/AG9-1</f>
        <v>-5.9999999999999942E-2</v>
      </c>
      <c r="AM12" s="142">
        <f>AM9/AH9-1</f>
        <v>-5.9999999999999942E-2</v>
      </c>
      <c r="AN12" s="213">
        <f>AN9/AI9-1</f>
        <v>-5.9999999999999942E-2</v>
      </c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</row>
    <row r="13" spans="1:73" s="140" customFormat="1">
      <c r="A13" s="137"/>
      <c r="B13" s="138"/>
      <c r="C13" s="139" t="s">
        <v>148</v>
      </c>
      <c r="D13" s="143"/>
      <c r="E13" s="170">
        <v>161</v>
      </c>
      <c r="F13" s="169">
        <v>161</v>
      </c>
      <c r="G13" s="169">
        <v>161</v>
      </c>
      <c r="H13" s="169">
        <v>161</v>
      </c>
      <c r="I13" s="169">
        <v>161</v>
      </c>
      <c r="J13" s="219">
        <v>161</v>
      </c>
      <c r="K13" s="169">
        <v>161</v>
      </c>
      <c r="L13" s="169">
        <v>161</v>
      </c>
      <c r="M13" s="169">
        <v>161</v>
      </c>
      <c r="N13" s="169">
        <v>161</v>
      </c>
      <c r="O13" s="219">
        <v>161</v>
      </c>
      <c r="P13" s="169">
        <v>161</v>
      </c>
      <c r="Q13" s="169">
        <v>161</v>
      </c>
      <c r="R13" s="169">
        <v>161</v>
      </c>
      <c r="S13" s="169">
        <v>161</v>
      </c>
      <c r="T13" s="219">
        <v>161</v>
      </c>
      <c r="U13" s="169">
        <v>161</v>
      </c>
      <c r="V13" s="169">
        <v>161</v>
      </c>
      <c r="W13" s="169">
        <v>161</v>
      </c>
      <c r="X13" s="169">
        <v>161</v>
      </c>
      <c r="Y13" s="219">
        <v>161</v>
      </c>
      <c r="Z13" s="169">
        <v>161</v>
      </c>
      <c r="AA13" s="169">
        <v>161</v>
      </c>
      <c r="AB13" s="169">
        <v>161</v>
      </c>
      <c r="AC13" s="169">
        <v>161</v>
      </c>
      <c r="AD13" s="219">
        <v>161</v>
      </c>
      <c r="AE13" s="169">
        <v>161</v>
      </c>
      <c r="AF13" s="169">
        <v>161</v>
      </c>
      <c r="AG13" s="169">
        <v>161</v>
      </c>
      <c r="AH13" s="169">
        <v>161</v>
      </c>
      <c r="AI13" s="219">
        <v>161</v>
      </c>
      <c r="AJ13" s="169">
        <v>161</v>
      </c>
      <c r="AK13" s="169">
        <v>161</v>
      </c>
      <c r="AL13" s="169">
        <v>161</v>
      </c>
      <c r="AM13" s="169">
        <v>161</v>
      </c>
      <c r="AN13" s="219">
        <v>161</v>
      </c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</row>
    <row r="14" spans="1:73" s="146" customFormat="1" ht="15" thickBot="1">
      <c r="A14" s="144"/>
      <c r="B14" s="145"/>
      <c r="D14" s="147"/>
      <c r="E14" s="157"/>
      <c r="F14" s="147"/>
      <c r="G14" s="147"/>
      <c r="H14" s="147"/>
      <c r="I14" s="147"/>
      <c r="J14" s="199"/>
      <c r="K14" s="147"/>
      <c r="L14" s="147"/>
      <c r="M14" s="147"/>
      <c r="N14" s="147"/>
      <c r="O14" s="199"/>
      <c r="P14" s="147"/>
      <c r="Q14" s="147"/>
      <c r="R14" s="147"/>
      <c r="S14" s="147"/>
      <c r="T14" s="199"/>
      <c r="U14" s="147"/>
      <c r="V14" s="147"/>
      <c r="W14" s="147"/>
      <c r="X14" s="147"/>
      <c r="Y14" s="199"/>
      <c r="Z14" s="147"/>
      <c r="AA14" s="147"/>
      <c r="AB14" s="147"/>
      <c r="AC14" s="147"/>
      <c r="AD14" s="214"/>
      <c r="AE14" s="148"/>
      <c r="AF14" s="148"/>
      <c r="AG14" s="148"/>
      <c r="AH14" s="148"/>
      <c r="AI14" s="242"/>
      <c r="AJ14" s="148"/>
      <c r="AK14" s="148"/>
      <c r="AL14" s="148"/>
      <c r="AM14" s="148"/>
      <c r="AN14" s="242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</row>
    <row r="15" spans="1:73" s="136" customFormat="1">
      <c r="A15" s="131"/>
      <c r="B15" s="132"/>
      <c r="C15" s="150" t="s">
        <v>141</v>
      </c>
      <c r="D15" s="134"/>
      <c r="E15" s="134"/>
      <c r="F15" s="135"/>
      <c r="G15" s="135"/>
      <c r="H15" s="135"/>
      <c r="I15" s="135"/>
      <c r="J15" s="193"/>
      <c r="K15" s="149"/>
      <c r="L15" s="149"/>
      <c r="M15" s="149"/>
      <c r="N15" s="149"/>
      <c r="O15" s="206"/>
      <c r="P15" s="149"/>
      <c r="Q15" s="149"/>
      <c r="R15" s="149"/>
      <c r="S15" s="149"/>
      <c r="T15" s="206"/>
      <c r="U15" s="149"/>
      <c r="V15" s="149"/>
      <c r="W15" s="149"/>
      <c r="X15" s="149"/>
      <c r="Y15" s="206"/>
      <c r="Z15" s="149"/>
      <c r="AA15" s="149"/>
      <c r="AB15" s="149"/>
      <c r="AC15" s="149"/>
      <c r="AD15" s="206"/>
      <c r="AE15" s="149"/>
      <c r="AF15" s="149"/>
      <c r="AG15" s="149"/>
      <c r="AH15" s="149"/>
      <c r="AI15" s="206"/>
      <c r="AJ15" s="149"/>
      <c r="AK15" s="149"/>
      <c r="AL15" s="149"/>
      <c r="AM15" s="149"/>
      <c r="AN15" s="206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</row>
    <row r="16" spans="1:73" s="172" customFormat="1" outlineLevel="1">
      <c r="A16" s="171"/>
      <c r="C16" s="172" t="s">
        <v>155</v>
      </c>
      <c r="E16" s="173">
        <f t="shared" ref="E16:G16" si="25">E20*E25</f>
        <v>0</v>
      </c>
      <c r="F16" s="172">
        <f t="shared" si="25"/>
        <v>4.83</v>
      </c>
      <c r="G16" s="172">
        <f t="shared" si="25"/>
        <v>24.15</v>
      </c>
      <c r="H16" s="172">
        <f>H20*H25</f>
        <v>33.81</v>
      </c>
      <c r="I16" s="172">
        <f>I20*I25</f>
        <v>38.64</v>
      </c>
      <c r="J16" s="194">
        <f>J20*J25</f>
        <v>38.64</v>
      </c>
      <c r="K16" s="172">
        <f>K20*K25</f>
        <v>38.64</v>
      </c>
      <c r="L16" s="172">
        <f t="shared" ref="L16:AI16" si="26">L20*L25</f>
        <v>38.64</v>
      </c>
      <c r="M16" s="172">
        <f>M20*M25</f>
        <v>38.64</v>
      </c>
      <c r="N16" s="172">
        <f t="shared" si="26"/>
        <v>38.64</v>
      </c>
      <c r="O16" s="194">
        <f t="shared" si="26"/>
        <v>38.64</v>
      </c>
      <c r="P16" s="172">
        <f t="shared" si="26"/>
        <v>40.25</v>
      </c>
      <c r="Q16" s="172">
        <f t="shared" si="26"/>
        <v>40.25</v>
      </c>
      <c r="R16" s="172">
        <f t="shared" si="26"/>
        <v>40.25</v>
      </c>
      <c r="S16" s="172">
        <f t="shared" si="26"/>
        <v>40.25</v>
      </c>
      <c r="T16" s="194">
        <f t="shared" si="26"/>
        <v>40.25</v>
      </c>
      <c r="U16" s="172">
        <f t="shared" si="26"/>
        <v>41.86</v>
      </c>
      <c r="V16" s="172">
        <f t="shared" si="26"/>
        <v>41.86</v>
      </c>
      <c r="W16" s="172">
        <f t="shared" si="26"/>
        <v>41.86</v>
      </c>
      <c r="X16" s="172">
        <f t="shared" si="26"/>
        <v>41.86</v>
      </c>
      <c r="Y16" s="194">
        <f t="shared" si="26"/>
        <v>41.86</v>
      </c>
      <c r="Z16" s="172">
        <f t="shared" si="26"/>
        <v>43.470000000000006</v>
      </c>
      <c r="AA16" s="172">
        <f t="shared" si="26"/>
        <v>43.470000000000006</v>
      </c>
      <c r="AB16" s="172">
        <f t="shared" si="26"/>
        <v>43.470000000000006</v>
      </c>
      <c r="AC16" s="172">
        <f t="shared" si="26"/>
        <v>43.470000000000006</v>
      </c>
      <c r="AD16" s="212">
        <f t="shared" si="26"/>
        <v>43.470000000000006</v>
      </c>
      <c r="AE16" s="172">
        <f t="shared" si="26"/>
        <v>45.080000000000005</v>
      </c>
      <c r="AF16" s="172">
        <f t="shared" si="26"/>
        <v>45.080000000000005</v>
      </c>
      <c r="AG16" s="172">
        <f t="shared" si="26"/>
        <v>45.080000000000005</v>
      </c>
      <c r="AH16" s="172">
        <f t="shared" si="26"/>
        <v>45.080000000000005</v>
      </c>
      <c r="AI16" s="212">
        <f t="shared" si="26"/>
        <v>45.080000000000005</v>
      </c>
      <c r="AJ16" s="172">
        <f>AJ20*AJ25</f>
        <v>46.69</v>
      </c>
      <c r="AK16" s="172">
        <f>AK20*AK25</f>
        <v>46.69</v>
      </c>
      <c r="AL16" s="172">
        <f>AL20*AL25</f>
        <v>46.69</v>
      </c>
      <c r="AM16" s="172">
        <f>AM20*AM25</f>
        <v>46.69</v>
      </c>
      <c r="AN16" s="212">
        <f>AN20*AN25</f>
        <v>46.69</v>
      </c>
    </row>
    <row r="17" spans="1:73" s="179" customFormat="1" ht="12" outlineLevel="1">
      <c r="A17" s="174"/>
      <c r="B17" s="175"/>
      <c r="C17" s="176" t="s">
        <v>151</v>
      </c>
      <c r="D17" s="177"/>
      <c r="E17" s="178"/>
      <c r="F17" s="177">
        <f>F16*0%</f>
        <v>0</v>
      </c>
      <c r="G17" s="177">
        <f>G16*0%</f>
        <v>0</v>
      </c>
      <c r="H17" s="177">
        <f>H16*0%</f>
        <v>0</v>
      </c>
      <c r="I17" s="177">
        <f>I16*0%</f>
        <v>0</v>
      </c>
      <c r="J17" s="195">
        <f>SUM(F17:I17)</f>
        <v>0</v>
      </c>
      <c r="K17" s="177">
        <f>K16*0%</f>
        <v>0</v>
      </c>
      <c r="L17" s="177">
        <f>L16*0%</f>
        <v>0</v>
      </c>
      <c r="M17" s="177">
        <f>M16*0%</f>
        <v>0</v>
      </c>
      <c r="N17" s="177">
        <f>N16*0%</f>
        <v>0</v>
      </c>
      <c r="O17" s="195">
        <f>SUM(K17:N17)</f>
        <v>0</v>
      </c>
      <c r="P17" s="177">
        <f>P16*0%</f>
        <v>0</v>
      </c>
      <c r="Q17" s="177">
        <f>Q16*0%</f>
        <v>0</v>
      </c>
      <c r="R17" s="177">
        <f>R16*0%</f>
        <v>0</v>
      </c>
      <c r="S17" s="177">
        <f>S16*0%</f>
        <v>0</v>
      </c>
      <c r="T17" s="195">
        <f>SUM(P17:S17)</f>
        <v>0</v>
      </c>
      <c r="U17" s="177">
        <f>U16*0%</f>
        <v>0</v>
      </c>
      <c r="V17" s="177">
        <f>V16*0%</f>
        <v>0</v>
      </c>
      <c r="W17" s="177">
        <f>W16*0%</f>
        <v>0</v>
      </c>
      <c r="X17" s="177">
        <f>X16*0%</f>
        <v>0</v>
      </c>
      <c r="Y17" s="195">
        <f>SUM(U17:X17)</f>
        <v>0</v>
      </c>
      <c r="Z17" s="177">
        <f>Z16*0%</f>
        <v>0</v>
      </c>
      <c r="AA17" s="177">
        <f>AA16*0%</f>
        <v>0</v>
      </c>
      <c r="AB17" s="177">
        <f>AB16*0%</f>
        <v>0</v>
      </c>
      <c r="AC17" s="177">
        <f>AC16*0%</f>
        <v>0</v>
      </c>
      <c r="AD17" s="210">
        <f>SUM(Z17:AC17)</f>
        <v>0</v>
      </c>
      <c r="AE17" s="177">
        <f>AE16*0%</f>
        <v>0</v>
      </c>
      <c r="AF17" s="177">
        <f>AF16*0%</f>
        <v>0</v>
      </c>
      <c r="AG17" s="177">
        <f>AG16*0%</f>
        <v>0</v>
      </c>
      <c r="AH17" s="177">
        <f>AH16*0%</f>
        <v>0</v>
      </c>
      <c r="AI17" s="210">
        <f>SUM(AE17:AH17)</f>
        <v>0</v>
      </c>
      <c r="AJ17" s="177">
        <f>AJ16*0%</f>
        <v>0</v>
      </c>
      <c r="AK17" s="177">
        <f>AK16*0%</f>
        <v>0</v>
      </c>
      <c r="AL17" s="177">
        <f>AL16*0%</f>
        <v>0</v>
      </c>
      <c r="AM17" s="177">
        <f>AM16*0%</f>
        <v>0</v>
      </c>
      <c r="AN17" s="210">
        <f>SUM(AJ17:AM17)</f>
        <v>0</v>
      </c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</row>
    <row r="18" spans="1:73" s="179" customFormat="1" ht="12" outlineLevel="1">
      <c r="A18" s="174"/>
      <c r="B18" s="175"/>
      <c r="C18" s="176" t="s">
        <v>150</v>
      </c>
      <c r="D18" s="177"/>
      <c r="E18" s="178"/>
      <c r="F18" s="177">
        <f t="shared" ref="F18:G18" si="27">F16-E16+F17</f>
        <v>4.83</v>
      </c>
      <c r="G18" s="177">
        <f t="shared" si="27"/>
        <v>19.32</v>
      </c>
      <c r="H18" s="177">
        <f>H16-G16+H17</f>
        <v>9.6600000000000037</v>
      </c>
      <c r="I18" s="177">
        <f>I16-H16+I17</f>
        <v>4.8299999999999983</v>
      </c>
      <c r="J18" s="195">
        <f>J16-D16+J17</f>
        <v>38.64</v>
      </c>
      <c r="K18" s="177">
        <f>K16-J16+K17</f>
        <v>0</v>
      </c>
      <c r="L18" s="177">
        <f>L16-K16+L17</f>
        <v>0</v>
      </c>
      <c r="M18" s="177">
        <f>M16-L16+M17</f>
        <v>0</v>
      </c>
      <c r="N18" s="177">
        <f>N16-M16+N17</f>
        <v>0</v>
      </c>
      <c r="O18" s="195">
        <f>O16-J16+O17</f>
        <v>0</v>
      </c>
      <c r="P18" s="177">
        <f>P16-O16+P17</f>
        <v>1.6099999999999994</v>
      </c>
      <c r="Q18" s="177">
        <f>Q16-P16+Q17</f>
        <v>0</v>
      </c>
      <c r="R18" s="177">
        <f>R16-Q16+R17</f>
        <v>0</v>
      </c>
      <c r="S18" s="177">
        <f>S16-R16+S17</f>
        <v>0</v>
      </c>
      <c r="T18" s="195">
        <f>T16-O16+T17</f>
        <v>1.6099999999999994</v>
      </c>
      <c r="U18" s="177">
        <f>U16-T16+U17</f>
        <v>1.6099999999999994</v>
      </c>
      <c r="V18" s="177">
        <f>V16-U16+V17</f>
        <v>0</v>
      </c>
      <c r="W18" s="177">
        <f>W16-V16+W17</f>
        <v>0</v>
      </c>
      <c r="X18" s="177">
        <f>X16-W16+X17</f>
        <v>0</v>
      </c>
      <c r="Y18" s="195">
        <f>Y16-T16+Y17</f>
        <v>1.6099999999999994</v>
      </c>
      <c r="Z18" s="177">
        <f>Z16-Y16+Z17</f>
        <v>1.6100000000000065</v>
      </c>
      <c r="AA18" s="177">
        <f>AA16-Z16+AA17</f>
        <v>0</v>
      </c>
      <c r="AB18" s="177">
        <f>AB16-AA16+AB17</f>
        <v>0</v>
      </c>
      <c r="AC18" s="177">
        <f>AC16-AB16+AC17</f>
        <v>0</v>
      </c>
      <c r="AD18" s="210">
        <f>AD16-Y16+AD17</f>
        <v>1.6100000000000065</v>
      </c>
      <c r="AE18" s="177">
        <f>AE16-AD16+AE17</f>
        <v>1.6099999999999994</v>
      </c>
      <c r="AF18" s="177">
        <f>AF16-AE16+AF17</f>
        <v>0</v>
      </c>
      <c r="AG18" s="177">
        <f>AG16-AF16+AG17</f>
        <v>0</v>
      </c>
      <c r="AH18" s="177">
        <f>AH16-AG16+AH17</f>
        <v>0</v>
      </c>
      <c r="AI18" s="210">
        <f>AI16-AD16+AI17</f>
        <v>1.6099999999999994</v>
      </c>
      <c r="AJ18" s="177">
        <f>AJ16-AI16+AJ17</f>
        <v>1.6099999999999923</v>
      </c>
      <c r="AK18" s="177">
        <f>AK16-AJ16+AK17</f>
        <v>0</v>
      </c>
      <c r="AL18" s="177">
        <f>AL16-AK16+AL17</f>
        <v>0</v>
      </c>
      <c r="AM18" s="177">
        <f>AM16-AL16+AM17</f>
        <v>0</v>
      </c>
      <c r="AN18" s="210">
        <f>AN16-AI16+AN17</f>
        <v>1.6099999999999923</v>
      </c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</row>
    <row r="19" spans="1:73" s="179" customFormat="1" ht="12" outlineLevel="1">
      <c r="A19" s="174"/>
      <c r="B19" s="175"/>
      <c r="C19" s="176" t="s">
        <v>152</v>
      </c>
      <c r="D19" s="177"/>
      <c r="E19" s="178"/>
      <c r="F19" s="177">
        <v>2500</v>
      </c>
      <c r="G19" s="177">
        <v>2500</v>
      </c>
      <c r="H19" s="177">
        <v>2500</v>
      </c>
      <c r="I19" s="177">
        <v>2500</v>
      </c>
      <c r="J19" s="195">
        <v>2500</v>
      </c>
      <c r="K19" s="177">
        <v>2500</v>
      </c>
      <c r="L19" s="177">
        <v>2500</v>
      </c>
      <c r="M19" s="177">
        <v>2500</v>
      </c>
      <c r="N19" s="177">
        <v>2500</v>
      </c>
      <c r="O19" s="195">
        <v>2500</v>
      </c>
      <c r="P19" s="177">
        <v>2500</v>
      </c>
      <c r="Q19" s="177">
        <v>2500</v>
      </c>
      <c r="R19" s="177">
        <v>2500</v>
      </c>
      <c r="S19" s="177">
        <v>2500</v>
      </c>
      <c r="T19" s="195">
        <v>2500</v>
      </c>
      <c r="U19" s="177">
        <v>2500</v>
      </c>
      <c r="V19" s="177">
        <v>2500</v>
      </c>
      <c r="W19" s="177">
        <v>2500</v>
      </c>
      <c r="X19" s="177">
        <v>2500</v>
      </c>
      <c r="Y19" s="195">
        <v>2500</v>
      </c>
      <c r="Z19" s="177">
        <v>2500</v>
      </c>
      <c r="AA19" s="177">
        <v>2500</v>
      </c>
      <c r="AB19" s="177">
        <v>2500</v>
      </c>
      <c r="AC19" s="177">
        <v>2500</v>
      </c>
      <c r="AD19" s="195">
        <v>2500</v>
      </c>
      <c r="AE19" s="177">
        <v>2500</v>
      </c>
      <c r="AF19" s="177">
        <v>2500</v>
      </c>
      <c r="AG19" s="177">
        <v>2500</v>
      </c>
      <c r="AH19" s="177">
        <v>2500</v>
      </c>
      <c r="AI19" s="195">
        <v>2500</v>
      </c>
      <c r="AJ19" s="177">
        <v>2500</v>
      </c>
      <c r="AK19" s="177">
        <v>2500</v>
      </c>
      <c r="AL19" s="177">
        <v>2500</v>
      </c>
      <c r="AM19" s="177">
        <v>2500</v>
      </c>
      <c r="AN19" s="195">
        <v>2500</v>
      </c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</row>
    <row r="20" spans="1:73" s="332" customFormat="1" outlineLevel="1">
      <c r="A20" s="324"/>
      <c r="B20" s="325"/>
      <c r="C20" s="326" t="s">
        <v>76</v>
      </c>
      <c r="D20" s="327"/>
      <c r="E20" s="328"/>
      <c r="F20" s="327">
        <v>0.03</v>
      </c>
      <c r="G20" s="327">
        <v>0.15</v>
      </c>
      <c r="H20" s="327">
        <v>0.21</v>
      </c>
      <c r="I20" s="329">
        <v>0.24</v>
      </c>
      <c r="J20" s="330">
        <f>I20</f>
        <v>0.24</v>
      </c>
      <c r="K20" s="327">
        <v>0.24</v>
      </c>
      <c r="L20" s="327">
        <v>0.24</v>
      </c>
      <c r="M20" s="327">
        <v>0.24</v>
      </c>
      <c r="N20" s="329">
        <v>0.24</v>
      </c>
      <c r="O20" s="330">
        <f>N20</f>
        <v>0.24</v>
      </c>
      <c r="P20" s="327">
        <v>0.25</v>
      </c>
      <c r="Q20" s="327">
        <v>0.25</v>
      </c>
      <c r="R20" s="327">
        <v>0.25</v>
      </c>
      <c r="S20" s="329">
        <v>0.25</v>
      </c>
      <c r="T20" s="330">
        <f>S20</f>
        <v>0.25</v>
      </c>
      <c r="U20" s="327">
        <v>0.26</v>
      </c>
      <c r="V20" s="327">
        <v>0.26</v>
      </c>
      <c r="W20" s="327">
        <v>0.26</v>
      </c>
      <c r="X20" s="329">
        <v>0.26</v>
      </c>
      <c r="Y20" s="330">
        <f>X20</f>
        <v>0.26</v>
      </c>
      <c r="Z20" s="327">
        <v>0.27</v>
      </c>
      <c r="AA20" s="327">
        <f>Z20</f>
        <v>0.27</v>
      </c>
      <c r="AB20" s="327">
        <v>0.27</v>
      </c>
      <c r="AC20" s="329">
        <f>AB20</f>
        <v>0.27</v>
      </c>
      <c r="AD20" s="331">
        <f>AC20</f>
        <v>0.27</v>
      </c>
      <c r="AE20" s="327">
        <v>0.28000000000000003</v>
      </c>
      <c r="AF20" s="327">
        <f t="shared" ref="AF20:AN20" si="28">AE20</f>
        <v>0.28000000000000003</v>
      </c>
      <c r="AG20" s="327">
        <f t="shared" si="28"/>
        <v>0.28000000000000003</v>
      </c>
      <c r="AH20" s="329">
        <f t="shared" si="28"/>
        <v>0.28000000000000003</v>
      </c>
      <c r="AI20" s="331">
        <f t="shared" si="28"/>
        <v>0.28000000000000003</v>
      </c>
      <c r="AJ20" s="327">
        <v>0.28999999999999998</v>
      </c>
      <c r="AK20" s="327">
        <f t="shared" si="28"/>
        <v>0.28999999999999998</v>
      </c>
      <c r="AL20" s="327">
        <f t="shared" si="28"/>
        <v>0.28999999999999998</v>
      </c>
      <c r="AM20" s="329">
        <f t="shared" si="28"/>
        <v>0.28999999999999998</v>
      </c>
      <c r="AN20" s="331">
        <f t="shared" si="28"/>
        <v>0.28999999999999998</v>
      </c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327"/>
      <c r="BB20" s="327"/>
      <c r="BC20" s="327"/>
      <c r="BD20" s="327"/>
      <c r="BE20" s="327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27"/>
      <c r="BT20" s="327"/>
      <c r="BU20" s="327"/>
    </row>
    <row r="21" spans="1:73" s="185" customFormat="1">
      <c r="A21" s="180"/>
      <c r="B21" s="181"/>
      <c r="C21" s="182" t="s">
        <v>145</v>
      </c>
      <c r="D21" s="183"/>
      <c r="E21" s="184"/>
      <c r="F21" s="185">
        <f>(F19*F18)+F22*3*(E16+F16)/2</f>
        <v>13524</v>
      </c>
      <c r="G21" s="185">
        <f t="shared" ref="G21" si="29">(G19*G18)+G22*3*(F16+G16)/2</f>
        <v>56994</v>
      </c>
      <c r="H21" s="185">
        <f t="shared" ref="H21" si="30">(H19*H18)+H22*3*(G16+H16)/2</f>
        <v>41538.000000000015</v>
      </c>
      <c r="I21" s="185">
        <f t="shared" ref="I21" si="31">(I19*I18)+I22*3*(H16+I16)/2</f>
        <v>33810</v>
      </c>
      <c r="J21" s="196">
        <f>SUM(F21:I21)</f>
        <v>145866</v>
      </c>
      <c r="K21" s="185">
        <f>(K19*K18)+K22*3*(J16+K16)/2</f>
        <v>23531.760000000002</v>
      </c>
      <c r="L21" s="185">
        <f t="shared" ref="L21" si="32">(L19*L18)+L22*3*(K16+L16)/2</f>
        <v>23531.760000000002</v>
      </c>
      <c r="M21" s="185">
        <f t="shared" ref="M21" si="33">(M19*M18)+M22*3*(L16+M16)/2</f>
        <v>23531.760000000002</v>
      </c>
      <c r="N21" s="185">
        <f t="shared" ref="N21" si="34">(N19*N18)+N22*3*(M16+N16)/2</f>
        <v>23531.760000000002</v>
      </c>
      <c r="O21" s="196">
        <f>SUM(K21:N21)</f>
        <v>94127.040000000008</v>
      </c>
      <c r="P21" s="185">
        <f>(P19*P18)+P22*3*(O16+P16)/2</f>
        <v>30532.04</v>
      </c>
      <c r="Q21" s="185">
        <f t="shared" ref="Q21" si="35">(Q19*Q18)+Q22*3*(P16+Q16)/2</f>
        <v>27048</v>
      </c>
      <c r="R21" s="185">
        <f t="shared" ref="R21" si="36">(R19*R18)+R22*3*(Q16+R16)/2</f>
        <v>27048</v>
      </c>
      <c r="S21" s="185">
        <f t="shared" ref="S21" si="37">(S19*S18)+S22*3*(R16+S16)/2</f>
        <v>27048</v>
      </c>
      <c r="T21" s="196">
        <f>SUM(P21:S21)</f>
        <v>111676.04000000001</v>
      </c>
      <c r="U21" s="185">
        <f>(U19*U18)+U22*3*(T16+U16)/2</f>
        <v>31613.96</v>
      </c>
      <c r="V21" s="185">
        <f t="shared" ref="V21" si="38">(V19*V18)+V22*3*(U16+V16)/2</f>
        <v>28129.919999999998</v>
      </c>
      <c r="W21" s="185">
        <f t="shared" ref="W21" si="39">(W19*W18)+W22*3*(V16+W16)/2</f>
        <v>28129.919999999998</v>
      </c>
      <c r="X21" s="185">
        <f t="shared" ref="X21" si="40">(X19*X18)+X22*3*(W16+X16)/2</f>
        <v>28129.919999999998</v>
      </c>
      <c r="Y21" s="196">
        <f>SUM(U21:X21)</f>
        <v>116003.71999999999</v>
      </c>
      <c r="Z21" s="185">
        <f>(Z19*Z18)+Z22*3*(Y16+Z16)/2</f>
        <v>35511.770000000019</v>
      </c>
      <c r="AA21" s="185">
        <f t="shared" ref="AA21" si="41">(AA19*AA18)+AA22*3*(Z16+AA16)/2</f>
        <v>32080.860000000004</v>
      </c>
      <c r="AB21" s="185">
        <f t="shared" ref="AB21" si="42">(AB19*AB18)+AB22*3*(AA16+AB16)/2</f>
        <v>32080.860000000004</v>
      </c>
      <c r="AC21" s="185">
        <f t="shared" ref="AC21" si="43">(AC19*AC18)+AC22*3*(AB16+AC16)/2</f>
        <v>32080.860000000004</v>
      </c>
      <c r="AD21" s="196">
        <f>SUM(Z21:AC21)</f>
        <v>131754.35000000003</v>
      </c>
      <c r="AE21" s="185">
        <f>(AE19*AE18)+AE22*3*(AD16+AE16)/2</f>
        <v>36699.950000000004</v>
      </c>
      <c r="AF21" s="185">
        <f t="shared" ref="AF21" si="44">(AF19*AF18)+AF22*3*(AE16+AF16)/2</f>
        <v>33269.040000000001</v>
      </c>
      <c r="AG21" s="185">
        <f t="shared" ref="AG21" si="45">(AG19*AG18)+AG22*3*(AF16+AG16)/2</f>
        <v>33269.040000000001</v>
      </c>
      <c r="AH21" s="185">
        <f t="shared" ref="AH21" si="46">(AH19*AH18)+AH22*3*(AG16+AH16)/2</f>
        <v>33269.040000000001</v>
      </c>
      <c r="AI21" s="196">
        <f>SUM(AE21:AH21)</f>
        <v>136507.07</v>
      </c>
      <c r="AJ21" s="185">
        <f>(AJ19*AJ18)+AJ22*3*(AI16+AJ16)/2</f>
        <v>41329.504999999983</v>
      </c>
      <c r="AK21" s="185">
        <f t="shared" ref="AK21" si="47">(AK19*AK18)+AK22*3*(AJ16+AK16)/2</f>
        <v>37958.97</v>
      </c>
      <c r="AL21" s="185">
        <f t="shared" ref="AL21" si="48">(AL19*AL18)+AL22*3*(AK16+AL16)/2</f>
        <v>37958.97</v>
      </c>
      <c r="AM21" s="185">
        <f t="shared" ref="AM21" si="49">(AM19*AM18)+AM22*3*(AL16+AM16)/2</f>
        <v>37958.97</v>
      </c>
      <c r="AN21" s="196">
        <f>SUM(AJ21:AM21)</f>
        <v>155206.41499999998</v>
      </c>
    </row>
    <row r="22" spans="1:73" s="332" customFormat="1" ht="15" thickBot="1">
      <c r="A22" s="324"/>
      <c r="B22" s="325"/>
      <c r="C22" s="333" t="s">
        <v>77</v>
      </c>
      <c r="D22" s="334"/>
      <c r="E22" s="335"/>
      <c r="F22" s="334">
        <v>200</v>
      </c>
      <c r="G22" s="334">
        <v>200</v>
      </c>
      <c r="H22" s="334">
        <v>200</v>
      </c>
      <c r="I22" s="334">
        <v>200</v>
      </c>
      <c r="J22" s="336">
        <v>200</v>
      </c>
      <c r="K22" s="334">
        <v>203</v>
      </c>
      <c r="L22" s="334">
        <v>203</v>
      </c>
      <c r="M22" s="334">
        <v>203</v>
      </c>
      <c r="N22" s="334">
        <v>203</v>
      </c>
      <c r="O22" s="336">
        <v>203</v>
      </c>
      <c r="P22" s="334">
        <v>224</v>
      </c>
      <c r="Q22" s="334">
        <v>224</v>
      </c>
      <c r="R22" s="334">
        <v>224</v>
      </c>
      <c r="S22" s="334">
        <v>224</v>
      </c>
      <c r="T22" s="336">
        <v>224</v>
      </c>
      <c r="U22" s="334">
        <v>224</v>
      </c>
      <c r="V22" s="334">
        <v>224</v>
      </c>
      <c r="W22" s="334">
        <v>224</v>
      </c>
      <c r="X22" s="334">
        <v>224</v>
      </c>
      <c r="Y22" s="336">
        <v>224</v>
      </c>
      <c r="Z22" s="334">
        <v>246</v>
      </c>
      <c r="AA22" s="334">
        <v>246</v>
      </c>
      <c r="AB22" s="334">
        <v>246</v>
      </c>
      <c r="AC22" s="334">
        <v>246</v>
      </c>
      <c r="AD22" s="337">
        <v>246</v>
      </c>
      <c r="AE22" s="334">
        <v>246</v>
      </c>
      <c r="AF22" s="334">
        <v>246</v>
      </c>
      <c r="AG22" s="334">
        <v>246</v>
      </c>
      <c r="AH22" s="334">
        <v>246</v>
      </c>
      <c r="AI22" s="337">
        <v>246</v>
      </c>
      <c r="AJ22" s="334">
        <v>271</v>
      </c>
      <c r="AK22" s="334">
        <v>271</v>
      </c>
      <c r="AL22" s="334">
        <v>271</v>
      </c>
      <c r="AM22" s="334">
        <v>271</v>
      </c>
      <c r="AN22" s="337">
        <v>271</v>
      </c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</row>
    <row r="23" spans="1:73" s="140" customFormat="1" hidden="1">
      <c r="A23" s="137"/>
      <c r="B23" s="138"/>
      <c r="C23" s="139" t="s">
        <v>74</v>
      </c>
      <c r="D23" s="141"/>
      <c r="E23" s="156"/>
      <c r="F23" s="141"/>
      <c r="G23" s="141"/>
      <c r="H23" s="141"/>
      <c r="I23" s="141"/>
      <c r="J23" s="197"/>
      <c r="K23" s="141">
        <v>0</v>
      </c>
      <c r="L23" s="141">
        <f>L16/K16-1</f>
        <v>0</v>
      </c>
      <c r="M23" s="141">
        <f>M16/L16-1</f>
        <v>0</v>
      </c>
      <c r="N23" s="141">
        <f>N16/M16-1</f>
        <v>0</v>
      </c>
      <c r="O23" s="198">
        <f>O16/J16-1</f>
        <v>0</v>
      </c>
      <c r="P23" s="141">
        <f>P16/O16-1</f>
        <v>4.1666666666666741E-2</v>
      </c>
      <c r="Q23" s="141">
        <f>Q16/P16-1</f>
        <v>0</v>
      </c>
      <c r="R23" s="141">
        <f>R16/Q16-1</f>
        <v>0</v>
      </c>
      <c r="S23" s="141">
        <f>S16/R16-1</f>
        <v>0</v>
      </c>
      <c r="T23" s="198">
        <f>T16/O16-1</f>
        <v>4.1666666666666741E-2</v>
      </c>
      <c r="U23" s="142">
        <f>U16/T16-1</f>
        <v>4.0000000000000036E-2</v>
      </c>
      <c r="V23" s="142">
        <f>V16/U16-1</f>
        <v>0</v>
      </c>
      <c r="W23" s="142">
        <f>W16/V16-1</f>
        <v>0</v>
      </c>
      <c r="X23" s="142">
        <f>X16/W16-1</f>
        <v>0</v>
      </c>
      <c r="Y23" s="198">
        <f>Y16/T16-1</f>
        <v>4.0000000000000036E-2</v>
      </c>
      <c r="Z23" s="142">
        <f>Z16/Y16-1</f>
        <v>3.8461538461538547E-2</v>
      </c>
      <c r="AA23" s="142">
        <f>AA16/Z16-1</f>
        <v>0</v>
      </c>
      <c r="AB23" s="142">
        <f>AB16/AA16-1</f>
        <v>0</v>
      </c>
      <c r="AC23" s="142">
        <f>AC16/AB16-1</f>
        <v>0</v>
      </c>
      <c r="AD23" s="213">
        <f>AD16/Y16-1</f>
        <v>3.8461538461538547E-2</v>
      </c>
      <c r="AE23" s="142">
        <f>AE16/AD16-1</f>
        <v>3.7037037037036979E-2</v>
      </c>
      <c r="AF23" s="142">
        <f>AF16/AE16-1</f>
        <v>0</v>
      </c>
      <c r="AG23" s="142">
        <f>AG16/AF16-1</f>
        <v>0</v>
      </c>
      <c r="AH23" s="142">
        <f>AH16/AG16-1</f>
        <v>0</v>
      </c>
      <c r="AI23" s="213">
        <f>AI16/AD16-1</f>
        <v>3.7037037037036979E-2</v>
      </c>
      <c r="AJ23" s="142">
        <f>AJ16/AI16-1</f>
        <v>3.5714285714285587E-2</v>
      </c>
      <c r="AK23" s="142">
        <f>AK16/AJ16-1</f>
        <v>0</v>
      </c>
      <c r="AL23" s="142">
        <f>AL16/AK16-1</f>
        <v>0</v>
      </c>
      <c r="AM23" s="142">
        <f>AM16/AL16-1</f>
        <v>0</v>
      </c>
      <c r="AN23" s="213">
        <f>AN16/AI16-1</f>
        <v>3.5714285714285587E-2</v>
      </c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</row>
    <row r="24" spans="1:73" s="140" customFormat="1" hidden="1">
      <c r="A24" s="137"/>
      <c r="B24" s="138"/>
      <c r="C24" s="139" t="s">
        <v>75</v>
      </c>
      <c r="D24" s="141"/>
      <c r="E24" s="156"/>
      <c r="F24" s="141"/>
      <c r="G24" s="141"/>
      <c r="H24" s="141"/>
      <c r="I24" s="141"/>
      <c r="J24" s="198"/>
      <c r="K24" s="141">
        <f>IF(F21=0,0,K21/F21-1)</f>
        <v>0.74000000000000021</v>
      </c>
      <c r="L24" s="141">
        <f>IF(G21=0,0,L21/G21-1)</f>
        <v>-0.58711864406779657</v>
      </c>
      <c r="M24" s="141">
        <f>M21/H21-1</f>
        <v>-0.43348837209302338</v>
      </c>
      <c r="N24" s="141">
        <f>N21/I21-1</f>
        <v>-0.30399999999999994</v>
      </c>
      <c r="O24" s="198"/>
      <c r="P24" s="141">
        <f t="shared" ref="P24:AI24" si="50">P21/K21-1</f>
        <v>0.2974822112753146</v>
      </c>
      <c r="Q24" s="141">
        <f t="shared" si="50"/>
        <v>0.14942528735632177</v>
      </c>
      <c r="R24" s="141">
        <f t="shared" si="50"/>
        <v>0.14942528735632177</v>
      </c>
      <c r="S24" s="141">
        <f t="shared" si="50"/>
        <v>0.14942528735632177</v>
      </c>
      <c r="T24" s="198">
        <f t="shared" si="50"/>
        <v>0.18643951833607009</v>
      </c>
      <c r="U24" s="142">
        <f t="shared" si="50"/>
        <v>3.5435562117696717E-2</v>
      </c>
      <c r="V24" s="142">
        <f t="shared" si="50"/>
        <v>4.0000000000000036E-2</v>
      </c>
      <c r="W24" s="142">
        <f t="shared" si="50"/>
        <v>4.0000000000000036E-2</v>
      </c>
      <c r="X24" s="142">
        <f t="shared" si="50"/>
        <v>4.0000000000000036E-2</v>
      </c>
      <c r="Y24" s="198">
        <f t="shared" si="50"/>
        <v>3.875209042154415E-2</v>
      </c>
      <c r="Z24" s="142">
        <f t="shared" si="50"/>
        <v>0.1232939498879615</v>
      </c>
      <c r="AA24" s="142">
        <f t="shared" si="50"/>
        <v>0.14045329670329698</v>
      </c>
      <c r="AB24" s="142">
        <f t="shared" si="50"/>
        <v>0.14045329670329698</v>
      </c>
      <c r="AC24" s="142">
        <f t="shared" si="50"/>
        <v>0.14045329670329698</v>
      </c>
      <c r="AD24" s="213">
        <f t="shared" si="50"/>
        <v>0.13577693887747788</v>
      </c>
      <c r="AE24" s="142">
        <f t="shared" si="50"/>
        <v>3.3458765924649247E-2</v>
      </c>
      <c r="AF24" s="142">
        <f t="shared" si="50"/>
        <v>3.7037037037036979E-2</v>
      </c>
      <c r="AG24" s="142">
        <f t="shared" si="50"/>
        <v>3.7037037037036979E-2</v>
      </c>
      <c r="AH24" s="142">
        <f t="shared" si="50"/>
        <v>3.7037037037036979E-2</v>
      </c>
      <c r="AI24" s="213">
        <f t="shared" si="50"/>
        <v>3.6072585079733432E-2</v>
      </c>
      <c r="AJ24" s="142">
        <f>AJ21/AE21-1</f>
        <v>0.12614608466768962</v>
      </c>
      <c r="AK24" s="142">
        <f>AK21/AF21-1</f>
        <v>0.14096980255516844</v>
      </c>
      <c r="AL24" s="142">
        <f>AL21/AG21-1</f>
        <v>0.14096980255516844</v>
      </c>
      <c r="AM24" s="142">
        <f>AM21/AH21-1</f>
        <v>0.14096980255516844</v>
      </c>
      <c r="AN24" s="213">
        <f>AN21/AI21-1</f>
        <v>0.13698444336985593</v>
      </c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</row>
    <row r="25" spans="1:73" s="140" customFormat="1">
      <c r="A25" s="137"/>
      <c r="B25" s="138"/>
      <c r="C25" s="139" t="s">
        <v>148</v>
      </c>
      <c r="D25" s="143"/>
      <c r="E25" s="170">
        <v>161</v>
      </c>
      <c r="F25" s="338">
        <v>161</v>
      </c>
      <c r="G25" s="338">
        <v>161</v>
      </c>
      <c r="H25" s="338">
        <v>161</v>
      </c>
      <c r="I25" s="338">
        <v>161</v>
      </c>
      <c r="J25" s="339">
        <v>161</v>
      </c>
      <c r="K25" s="338">
        <v>161</v>
      </c>
      <c r="L25" s="338">
        <v>161</v>
      </c>
      <c r="M25" s="338">
        <v>161</v>
      </c>
      <c r="N25" s="338">
        <v>161</v>
      </c>
      <c r="O25" s="339">
        <v>161</v>
      </c>
      <c r="P25" s="338">
        <v>161</v>
      </c>
      <c r="Q25" s="338">
        <v>161</v>
      </c>
      <c r="R25" s="338">
        <v>161</v>
      </c>
      <c r="S25" s="338">
        <v>161</v>
      </c>
      <c r="T25" s="339">
        <v>161</v>
      </c>
      <c r="U25" s="338">
        <v>161</v>
      </c>
      <c r="V25" s="338">
        <v>161</v>
      </c>
      <c r="W25" s="338">
        <v>161</v>
      </c>
      <c r="X25" s="338">
        <v>161</v>
      </c>
      <c r="Y25" s="339">
        <v>161</v>
      </c>
      <c r="Z25" s="338">
        <v>161</v>
      </c>
      <c r="AA25" s="338">
        <v>161</v>
      </c>
      <c r="AB25" s="338">
        <v>161</v>
      </c>
      <c r="AC25" s="338">
        <v>161</v>
      </c>
      <c r="AD25" s="339">
        <v>161</v>
      </c>
      <c r="AE25" s="338">
        <v>161</v>
      </c>
      <c r="AF25" s="338">
        <v>161</v>
      </c>
      <c r="AG25" s="338">
        <v>161</v>
      </c>
      <c r="AH25" s="338">
        <v>161</v>
      </c>
      <c r="AI25" s="339">
        <v>161</v>
      </c>
      <c r="AJ25" s="338">
        <v>161</v>
      </c>
      <c r="AK25" s="338">
        <v>161</v>
      </c>
      <c r="AL25" s="338">
        <v>161</v>
      </c>
      <c r="AM25" s="338">
        <v>161</v>
      </c>
      <c r="AN25" s="339">
        <v>161</v>
      </c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</row>
    <row r="26" spans="1:73" s="146" customFormat="1" ht="15" thickBot="1">
      <c r="A26" s="144"/>
      <c r="B26" s="145"/>
      <c r="E26" s="158"/>
      <c r="J26" s="200"/>
      <c r="O26" s="200"/>
      <c r="T26" s="200"/>
      <c r="Y26" s="200"/>
      <c r="AD26" s="215"/>
      <c r="AE26" s="148"/>
      <c r="AF26" s="148"/>
      <c r="AG26" s="148"/>
      <c r="AH26" s="148"/>
      <c r="AI26" s="242"/>
      <c r="AJ26" s="148"/>
      <c r="AK26" s="148"/>
      <c r="AL26" s="148"/>
      <c r="AM26" s="148"/>
      <c r="AN26" s="242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</row>
    <row r="27" spans="1:73" s="122" customFormat="1">
      <c r="B27" s="123"/>
      <c r="C27" s="151" t="s">
        <v>142</v>
      </c>
      <c r="D27" s="124"/>
      <c r="E27" s="124"/>
      <c r="F27" s="125"/>
      <c r="G27" s="125"/>
      <c r="H27" s="125"/>
      <c r="I27" s="125"/>
      <c r="J27" s="201"/>
      <c r="K27" s="126"/>
      <c r="L27" s="126"/>
      <c r="M27" s="126"/>
      <c r="N27" s="126"/>
      <c r="O27" s="207"/>
      <c r="P27" s="126"/>
      <c r="Q27" s="126"/>
      <c r="R27" s="126"/>
      <c r="S27" s="126"/>
      <c r="T27" s="207"/>
      <c r="U27" s="126"/>
      <c r="V27" s="126"/>
      <c r="W27" s="126"/>
      <c r="X27" s="126"/>
      <c r="Y27" s="207"/>
      <c r="Z27" s="126"/>
      <c r="AA27" s="126"/>
      <c r="AB27" s="126"/>
      <c r="AC27" s="126"/>
      <c r="AD27" s="207"/>
      <c r="AE27" s="126"/>
      <c r="AF27" s="126"/>
      <c r="AG27" s="126"/>
      <c r="AH27" s="126"/>
      <c r="AI27" s="207"/>
      <c r="AJ27" s="126"/>
      <c r="AK27" s="126"/>
      <c r="AL27" s="126"/>
      <c r="AM27" s="126"/>
      <c r="AN27" s="207"/>
      <c r="AO27" s="125"/>
      <c r="AP27" s="125"/>
      <c r="AQ27" s="125"/>
      <c r="AR27" s="125"/>
      <c r="AS27" s="124"/>
      <c r="AT27" s="125"/>
      <c r="AU27" s="125"/>
      <c r="AV27" s="125"/>
      <c r="AW27" s="125"/>
      <c r="AX27" s="124"/>
      <c r="AY27" s="125"/>
      <c r="AZ27" s="125"/>
      <c r="BA27" s="125"/>
      <c r="BB27" s="125"/>
      <c r="BC27" s="124"/>
      <c r="BD27" s="125"/>
      <c r="BE27" s="125"/>
      <c r="BF27" s="125"/>
      <c r="BG27" s="125"/>
      <c r="BH27" s="124"/>
      <c r="BI27" s="125"/>
      <c r="BJ27" s="125"/>
      <c r="BK27" s="125"/>
      <c r="BL27" s="125"/>
      <c r="BM27" s="124"/>
      <c r="BN27" s="125"/>
      <c r="BO27" s="125"/>
      <c r="BP27" s="125"/>
      <c r="BQ27" s="125"/>
      <c r="BR27" s="124"/>
      <c r="BS27" s="125"/>
      <c r="BT27" s="125"/>
      <c r="BU27" s="125"/>
    </row>
    <row r="28" spans="1:73" s="172" customFormat="1" hidden="1" outlineLevel="1">
      <c r="A28" s="171"/>
      <c r="C28" s="172" t="s">
        <v>155</v>
      </c>
      <c r="E28" s="173">
        <f t="shared" ref="E28:G28" si="51">E32*E37</f>
        <v>0</v>
      </c>
      <c r="F28" s="172">
        <f t="shared" si="51"/>
        <v>0</v>
      </c>
      <c r="G28" s="172">
        <f t="shared" si="51"/>
        <v>0</v>
      </c>
      <c r="H28" s="172">
        <f>H32*H37</f>
        <v>0</v>
      </c>
      <c r="I28" s="172">
        <f>I32*I37</f>
        <v>0</v>
      </c>
      <c r="J28" s="194">
        <f>J32*J37</f>
        <v>0</v>
      </c>
      <c r="K28" s="172">
        <f t="shared" ref="K28:AI28" si="52">K32*K37</f>
        <v>0</v>
      </c>
      <c r="L28" s="172">
        <f t="shared" si="52"/>
        <v>0</v>
      </c>
      <c r="M28" s="172">
        <f t="shared" si="52"/>
        <v>0</v>
      </c>
      <c r="N28" s="172">
        <f t="shared" si="52"/>
        <v>0</v>
      </c>
      <c r="O28" s="194">
        <f t="shared" si="52"/>
        <v>0</v>
      </c>
      <c r="P28" s="172">
        <f t="shared" si="52"/>
        <v>0</v>
      </c>
      <c r="Q28" s="172">
        <f t="shared" si="52"/>
        <v>0</v>
      </c>
      <c r="R28" s="172">
        <f t="shared" si="52"/>
        <v>0</v>
      </c>
      <c r="S28" s="172">
        <f t="shared" si="52"/>
        <v>0</v>
      </c>
      <c r="T28" s="194">
        <f t="shared" si="52"/>
        <v>0</v>
      </c>
      <c r="U28" s="172">
        <f t="shared" si="52"/>
        <v>0</v>
      </c>
      <c r="V28" s="172">
        <f t="shared" si="52"/>
        <v>0</v>
      </c>
      <c r="W28" s="172">
        <f t="shared" si="52"/>
        <v>0</v>
      </c>
      <c r="X28" s="172">
        <f t="shared" si="52"/>
        <v>0</v>
      </c>
      <c r="Y28" s="194">
        <f t="shared" si="52"/>
        <v>0</v>
      </c>
      <c r="Z28" s="172">
        <f t="shared" si="52"/>
        <v>0</v>
      </c>
      <c r="AA28" s="172">
        <f t="shared" si="52"/>
        <v>0</v>
      </c>
      <c r="AB28" s="172">
        <f t="shared" si="52"/>
        <v>0</v>
      </c>
      <c r="AC28" s="172">
        <f t="shared" si="52"/>
        <v>0</v>
      </c>
      <c r="AD28" s="212">
        <f t="shared" si="52"/>
        <v>0</v>
      </c>
      <c r="AE28" s="172">
        <f t="shared" si="52"/>
        <v>0</v>
      </c>
      <c r="AF28" s="172">
        <f t="shared" si="52"/>
        <v>0</v>
      </c>
      <c r="AG28" s="172">
        <f t="shared" si="52"/>
        <v>0</v>
      </c>
      <c r="AH28" s="172">
        <f t="shared" si="52"/>
        <v>0</v>
      </c>
      <c r="AI28" s="212">
        <f t="shared" si="52"/>
        <v>0</v>
      </c>
      <c r="AJ28" s="172">
        <f>AJ32*AJ37</f>
        <v>0</v>
      </c>
      <c r="AK28" s="172">
        <f>AK32*AK37</f>
        <v>0</v>
      </c>
      <c r="AL28" s="172">
        <f>AL32*AL37</f>
        <v>0</v>
      </c>
      <c r="AM28" s="172">
        <f>AM32*AM37</f>
        <v>0</v>
      </c>
      <c r="AN28" s="212">
        <f>AN32*AN37</f>
        <v>0</v>
      </c>
    </row>
    <row r="29" spans="1:73" s="179" customFormat="1" ht="12" hidden="1" outlineLevel="1">
      <c r="A29" s="174"/>
      <c r="B29" s="175"/>
      <c r="C29" s="176" t="s">
        <v>151</v>
      </c>
      <c r="D29" s="177"/>
      <c r="E29" s="178"/>
      <c r="F29" s="177">
        <f t="shared" ref="F29:G29" si="53">F28*5%</f>
        <v>0</v>
      </c>
      <c r="G29" s="177">
        <f t="shared" si="53"/>
        <v>0</v>
      </c>
      <c r="H29" s="177">
        <f>H28*5%</f>
        <v>0</v>
      </c>
      <c r="I29" s="177">
        <f>I28*5%</f>
        <v>0</v>
      </c>
      <c r="J29" s="195">
        <f>SUM(F29:I29)</f>
        <v>0</v>
      </c>
      <c r="K29" s="177">
        <f>K28*5%</f>
        <v>0</v>
      </c>
      <c r="L29" s="177">
        <f>L28*5%</f>
        <v>0</v>
      </c>
      <c r="M29" s="177">
        <f>M28*5%</f>
        <v>0</v>
      </c>
      <c r="N29" s="177">
        <f>N28*5%</f>
        <v>0</v>
      </c>
      <c r="O29" s="195">
        <f>SUM(K29:N29)</f>
        <v>0</v>
      </c>
      <c r="P29" s="177">
        <f>P28*5%</f>
        <v>0</v>
      </c>
      <c r="Q29" s="177">
        <f>Q28*5%</f>
        <v>0</v>
      </c>
      <c r="R29" s="177">
        <f>R28*5%</f>
        <v>0</v>
      </c>
      <c r="S29" s="177">
        <f>S28*5%</f>
        <v>0</v>
      </c>
      <c r="T29" s="195">
        <f>SUM(P29:S29)</f>
        <v>0</v>
      </c>
      <c r="U29" s="177">
        <f>U28*5%</f>
        <v>0</v>
      </c>
      <c r="V29" s="177">
        <f>V28*5%</f>
        <v>0</v>
      </c>
      <c r="W29" s="177">
        <f>W28*5%</f>
        <v>0</v>
      </c>
      <c r="X29" s="177">
        <f>X28*5%</f>
        <v>0</v>
      </c>
      <c r="Y29" s="195">
        <f>SUM(U29:X29)</f>
        <v>0</v>
      </c>
      <c r="Z29" s="177">
        <f>Z28*5%</f>
        <v>0</v>
      </c>
      <c r="AA29" s="177">
        <f>AA28*5%</f>
        <v>0</v>
      </c>
      <c r="AB29" s="177">
        <f>AB28*5%</f>
        <v>0</v>
      </c>
      <c r="AC29" s="177">
        <f>AC28*5%</f>
        <v>0</v>
      </c>
      <c r="AD29" s="210">
        <f>SUM(Z29:AC29)</f>
        <v>0</v>
      </c>
      <c r="AE29" s="177">
        <f>AE28*5%</f>
        <v>0</v>
      </c>
      <c r="AF29" s="177">
        <f>AF28*5%</f>
        <v>0</v>
      </c>
      <c r="AG29" s="177">
        <f>AG28*5%</f>
        <v>0</v>
      </c>
      <c r="AH29" s="177">
        <f>AH28*5%</f>
        <v>0</v>
      </c>
      <c r="AI29" s="210">
        <f>SUM(AE29:AH29)</f>
        <v>0</v>
      </c>
      <c r="AJ29" s="177">
        <f>AJ28*5%</f>
        <v>0</v>
      </c>
      <c r="AK29" s="177">
        <f>AK28*5%</f>
        <v>0</v>
      </c>
      <c r="AL29" s="177">
        <f>AL28*5%</f>
        <v>0</v>
      </c>
      <c r="AM29" s="177">
        <f>AM28*5%</f>
        <v>0</v>
      </c>
      <c r="AN29" s="210">
        <f>SUM(AJ29:AM29)</f>
        <v>0</v>
      </c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</row>
    <row r="30" spans="1:73" s="179" customFormat="1" ht="12" hidden="1" outlineLevel="1">
      <c r="A30" s="174"/>
      <c r="B30" s="175"/>
      <c r="C30" s="176" t="s">
        <v>150</v>
      </c>
      <c r="D30" s="177"/>
      <c r="E30" s="178"/>
      <c r="F30" s="177">
        <f t="shared" ref="F30:G30" si="54">F28-E28+F29</f>
        <v>0</v>
      </c>
      <c r="G30" s="177">
        <f t="shared" si="54"/>
        <v>0</v>
      </c>
      <c r="H30" s="177">
        <f>H28-G28+H29</f>
        <v>0</v>
      </c>
      <c r="I30" s="177">
        <f>I28-H28+I29</f>
        <v>0</v>
      </c>
      <c r="J30" s="195">
        <f>J28-D28+J29</f>
        <v>0</v>
      </c>
      <c r="K30" s="177">
        <f>K28-J28+K29</f>
        <v>0</v>
      </c>
      <c r="L30" s="177">
        <f>L28-K28+L29</f>
        <v>0</v>
      </c>
      <c r="M30" s="177">
        <f>M28-L28+M29</f>
        <v>0</v>
      </c>
      <c r="N30" s="177">
        <f>N28-M28+N29</f>
        <v>0</v>
      </c>
      <c r="O30" s="195">
        <f>O28-J28+O29</f>
        <v>0</v>
      </c>
      <c r="P30" s="177">
        <f>P28-O28+P29</f>
        <v>0</v>
      </c>
      <c r="Q30" s="177">
        <f>Q28-P28+Q29</f>
        <v>0</v>
      </c>
      <c r="R30" s="177">
        <f>R28-Q28+R29</f>
        <v>0</v>
      </c>
      <c r="S30" s="177">
        <f>S28-R28+S29</f>
        <v>0</v>
      </c>
      <c r="T30" s="195">
        <f>T28-O28+T29</f>
        <v>0</v>
      </c>
      <c r="U30" s="177">
        <f>U28-T28+U29</f>
        <v>0</v>
      </c>
      <c r="V30" s="177">
        <f>V28-U28+V29</f>
        <v>0</v>
      </c>
      <c r="W30" s="177">
        <f>W28-V28+W29</f>
        <v>0</v>
      </c>
      <c r="X30" s="177">
        <f>X28-W28+X29</f>
        <v>0</v>
      </c>
      <c r="Y30" s="195">
        <f>Y28-T28+Y29</f>
        <v>0</v>
      </c>
      <c r="Z30" s="177">
        <f>Z28-Y28+Z29</f>
        <v>0</v>
      </c>
      <c r="AA30" s="177">
        <f>AA28-Z28+AA29</f>
        <v>0</v>
      </c>
      <c r="AB30" s="177">
        <f>AB28-AA28+AB29</f>
        <v>0</v>
      </c>
      <c r="AC30" s="177">
        <f>AC28-AB28+AC29</f>
        <v>0</v>
      </c>
      <c r="AD30" s="210">
        <f>AD28-Y28+AD29</f>
        <v>0</v>
      </c>
      <c r="AE30" s="177">
        <f>AE28-AD28+AE29</f>
        <v>0</v>
      </c>
      <c r="AF30" s="177">
        <f>AF28-AE28+AF29</f>
        <v>0</v>
      </c>
      <c r="AG30" s="177">
        <f>AG28-AF28+AG29</f>
        <v>0</v>
      </c>
      <c r="AH30" s="177">
        <f>AH28-AG28+AH29</f>
        <v>0</v>
      </c>
      <c r="AI30" s="210">
        <f>AI28-AD28+AI29</f>
        <v>0</v>
      </c>
      <c r="AJ30" s="177">
        <f>AJ28-AI28+AJ29</f>
        <v>0</v>
      </c>
      <c r="AK30" s="177">
        <f>AK28-AJ28+AK29</f>
        <v>0</v>
      </c>
      <c r="AL30" s="177">
        <f>AL28-AK28+AL29</f>
        <v>0</v>
      </c>
      <c r="AM30" s="177">
        <f>AM28-AL28+AM29</f>
        <v>0</v>
      </c>
      <c r="AN30" s="210">
        <f>AN28-AI28+AN29</f>
        <v>0</v>
      </c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</row>
    <row r="31" spans="1:73" s="179" customFormat="1" ht="12" hidden="1" outlineLevel="1">
      <c r="A31" s="174"/>
      <c r="B31" s="175"/>
      <c r="C31" s="176" t="s">
        <v>153</v>
      </c>
      <c r="D31" s="177"/>
      <c r="E31" s="178"/>
      <c r="F31" s="177">
        <v>1000</v>
      </c>
      <c r="G31" s="177">
        <v>1000</v>
      </c>
      <c r="H31" s="177">
        <v>1000</v>
      </c>
      <c r="I31" s="177">
        <v>1000</v>
      </c>
      <c r="J31" s="195">
        <v>1000</v>
      </c>
      <c r="K31" s="177">
        <v>1000</v>
      </c>
      <c r="L31" s="177">
        <v>1000</v>
      </c>
      <c r="M31" s="177">
        <v>1000</v>
      </c>
      <c r="N31" s="177">
        <v>1000</v>
      </c>
      <c r="O31" s="195">
        <v>1000</v>
      </c>
      <c r="P31" s="177">
        <v>1000</v>
      </c>
      <c r="Q31" s="177">
        <v>1000</v>
      </c>
      <c r="R31" s="177">
        <v>1000</v>
      </c>
      <c r="S31" s="177">
        <v>1000</v>
      </c>
      <c r="T31" s="210">
        <v>1000</v>
      </c>
      <c r="U31" s="177">
        <v>1000</v>
      </c>
      <c r="V31" s="177">
        <v>1000</v>
      </c>
      <c r="W31" s="177">
        <v>1000</v>
      </c>
      <c r="X31" s="177">
        <v>1000</v>
      </c>
      <c r="Y31" s="210">
        <v>1000</v>
      </c>
      <c r="Z31" s="177">
        <v>1000</v>
      </c>
      <c r="AA31" s="177">
        <v>1000</v>
      </c>
      <c r="AB31" s="177">
        <v>1000</v>
      </c>
      <c r="AC31" s="177">
        <v>1000</v>
      </c>
      <c r="AD31" s="210">
        <v>1000</v>
      </c>
      <c r="AE31" s="177">
        <v>1000</v>
      </c>
      <c r="AF31" s="177">
        <v>1000</v>
      </c>
      <c r="AG31" s="177">
        <v>1000</v>
      </c>
      <c r="AH31" s="177">
        <v>1000</v>
      </c>
      <c r="AI31" s="210">
        <v>1000</v>
      </c>
      <c r="AJ31" s="177">
        <v>1000</v>
      </c>
      <c r="AK31" s="177">
        <v>1000</v>
      </c>
      <c r="AL31" s="177">
        <v>1000</v>
      </c>
      <c r="AM31" s="177">
        <v>1000</v>
      </c>
      <c r="AN31" s="210">
        <v>1000</v>
      </c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</row>
    <row r="32" spans="1:73" s="332" customFormat="1" hidden="1" outlineLevel="1">
      <c r="A32" s="324"/>
      <c r="B32" s="325"/>
      <c r="C32" s="326" t="s">
        <v>144</v>
      </c>
      <c r="D32" s="327"/>
      <c r="E32" s="328"/>
      <c r="F32" s="327">
        <v>0</v>
      </c>
      <c r="G32" s="327">
        <v>0</v>
      </c>
      <c r="H32" s="327">
        <v>0</v>
      </c>
      <c r="I32" s="329">
        <v>0</v>
      </c>
      <c r="J32" s="330">
        <f>I32</f>
        <v>0</v>
      </c>
      <c r="K32" s="327">
        <v>0</v>
      </c>
      <c r="L32" s="327">
        <v>0</v>
      </c>
      <c r="M32" s="327">
        <v>0</v>
      </c>
      <c r="N32" s="329">
        <v>0</v>
      </c>
      <c r="O32" s="330">
        <f>N32</f>
        <v>0</v>
      </c>
      <c r="P32" s="327">
        <v>0</v>
      </c>
      <c r="Q32" s="327">
        <v>0</v>
      </c>
      <c r="R32" s="327">
        <v>0</v>
      </c>
      <c r="S32" s="329">
        <v>0</v>
      </c>
      <c r="T32" s="330">
        <f>S32</f>
        <v>0</v>
      </c>
      <c r="U32" s="327">
        <v>0</v>
      </c>
      <c r="V32" s="327">
        <v>0</v>
      </c>
      <c r="W32" s="327">
        <v>0</v>
      </c>
      <c r="X32" s="329">
        <v>0</v>
      </c>
      <c r="Y32" s="330">
        <f>X32</f>
        <v>0</v>
      </c>
      <c r="Z32" s="327">
        <v>0</v>
      </c>
      <c r="AA32" s="327">
        <v>0</v>
      </c>
      <c r="AB32" s="327">
        <v>0</v>
      </c>
      <c r="AC32" s="329">
        <v>0</v>
      </c>
      <c r="AD32" s="330">
        <f>AC32</f>
        <v>0</v>
      </c>
      <c r="AE32" s="327">
        <v>0</v>
      </c>
      <c r="AF32" s="327">
        <v>0</v>
      </c>
      <c r="AG32" s="327">
        <v>0</v>
      </c>
      <c r="AH32" s="329">
        <v>0</v>
      </c>
      <c r="AI32" s="330">
        <f>AH32</f>
        <v>0</v>
      </c>
      <c r="AJ32" s="327">
        <v>0</v>
      </c>
      <c r="AK32" s="327">
        <v>0</v>
      </c>
      <c r="AL32" s="327">
        <v>0</v>
      </c>
      <c r="AM32" s="329">
        <v>0</v>
      </c>
      <c r="AN32" s="330">
        <f>AM32</f>
        <v>0</v>
      </c>
      <c r="AO32" s="327"/>
      <c r="AP32" s="327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  <c r="BD32" s="327"/>
      <c r="BE32" s="327"/>
      <c r="BF32" s="327"/>
      <c r="BG32" s="327"/>
      <c r="BH32" s="327"/>
      <c r="BI32" s="327"/>
      <c r="BJ32" s="327"/>
      <c r="BK32" s="327"/>
      <c r="BL32" s="327"/>
      <c r="BM32" s="327"/>
      <c r="BN32" s="327"/>
      <c r="BO32" s="327"/>
      <c r="BP32" s="327"/>
      <c r="BQ32" s="327"/>
      <c r="BR32" s="327"/>
      <c r="BS32" s="327"/>
      <c r="BT32" s="327"/>
      <c r="BU32" s="327"/>
    </row>
    <row r="33" spans="1:73" s="185" customFormat="1" collapsed="1">
      <c r="A33" s="180"/>
      <c r="B33" s="181"/>
      <c r="C33" s="182" t="s">
        <v>147</v>
      </c>
      <c r="D33" s="183"/>
      <c r="E33" s="184"/>
      <c r="F33" s="185">
        <f>(F31*F30)+F34*3*(E28+F28)/2</f>
        <v>0</v>
      </c>
      <c r="G33" s="185">
        <f t="shared" ref="G33" si="55">(G31*G30)+G34*3*(F28+G28)/2</f>
        <v>0</v>
      </c>
      <c r="H33" s="185">
        <f t="shared" ref="H33" si="56">(H31*H30)+H34*3*(G28+H28)/2</f>
        <v>0</v>
      </c>
      <c r="I33" s="185">
        <f t="shared" ref="I33" si="57">(I31*I30)+I34*3*(H28+I28)/2</f>
        <v>0</v>
      </c>
      <c r="J33" s="196">
        <f>SUM(F33:I33)</f>
        <v>0</v>
      </c>
      <c r="K33" s="185">
        <f>(K31*K30)+K34*3*(J28+K28)/2</f>
        <v>0</v>
      </c>
      <c r="L33" s="185">
        <f t="shared" ref="L33" si="58">(L31*L30)+L34*3*(K28+L28)/2</f>
        <v>0</v>
      </c>
      <c r="M33" s="185">
        <f t="shared" ref="M33" si="59">(M31*M30)+M34*3*(L28+M28)/2</f>
        <v>0</v>
      </c>
      <c r="N33" s="185">
        <f t="shared" ref="N33" si="60">(N31*N30)+N34*3*(M28+N28)/2</f>
        <v>0</v>
      </c>
      <c r="O33" s="196">
        <f>SUM(K33:N33)</f>
        <v>0</v>
      </c>
      <c r="P33" s="185">
        <f>(P31*P30)+P34*3*(O28+P28)/2</f>
        <v>0</v>
      </c>
      <c r="Q33" s="185">
        <f t="shared" ref="Q33" si="61">(Q31*Q30)+Q34*3*(P28+Q28)/2</f>
        <v>0</v>
      </c>
      <c r="R33" s="185">
        <f t="shared" ref="R33" si="62">(R31*R30)+R34*3*(Q28+R28)/2</f>
        <v>0</v>
      </c>
      <c r="S33" s="185">
        <f t="shared" ref="S33" si="63">(S31*S30)+S34*3*(R28+S28)/2</f>
        <v>0</v>
      </c>
      <c r="T33" s="196">
        <f>SUM(P33:S33)</f>
        <v>0</v>
      </c>
      <c r="U33" s="185">
        <f>(U31*U30)+U34*3*(T28+U28)/2</f>
        <v>0</v>
      </c>
      <c r="V33" s="185">
        <f t="shared" ref="V33" si="64">(V31*V30)+V34*3*(U28+V28)/2</f>
        <v>0</v>
      </c>
      <c r="W33" s="185">
        <f t="shared" ref="W33" si="65">(W31*W30)+W34*3*(V28+W28)/2</f>
        <v>0</v>
      </c>
      <c r="X33" s="185">
        <f t="shared" ref="X33" si="66">(X31*X30)+X34*3*(W28+X28)/2</f>
        <v>0</v>
      </c>
      <c r="Y33" s="196">
        <f>SUM(U33:X33)</f>
        <v>0</v>
      </c>
      <c r="Z33" s="185">
        <f>(Z31*Z30)+Z34*3*(Y28+Z28)/2</f>
        <v>0</v>
      </c>
      <c r="AA33" s="185">
        <f t="shared" ref="AA33" si="67">(AA31*AA30)+AA34*3*(Z28+AA28)/2</f>
        <v>0</v>
      </c>
      <c r="AB33" s="185">
        <f t="shared" ref="AB33" si="68">(AB31*AB30)+AB34*3*(AA28+AB28)/2</f>
        <v>0</v>
      </c>
      <c r="AC33" s="185">
        <f t="shared" ref="AC33" si="69">(AC31*AC30)+AC34*3*(AB28+AC28)/2</f>
        <v>0</v>
      </c>
      <c r="AD33" s="196">
        <f>SUM(Z33:AC33)</f>
        <v>0</v>
      </c>
      <c r="AE33" s="185">
        <f>(AE31*AE30)+AE34*3*(AD28+AE28)/2</f>
        <v>0</v>
      </c>
      <c r="AF33" s="185">
        <f t="shared" ref="AF33" si="70">(AF31*AF30)+AF34*3*(AE28+AF28)/2</f>
        <v>0</v>
      </c>
      <c r="AG33" s="185">
        <f t="shared" ref="AG33" si="71">(AG31*AG30)+AG34*3*(AF28+AG28)/2</f>
        <v>0</v>
      </c>
      <c r="AH33" s="185">
        <f t="shared" ref="AH33" si="72">(AH31*AH30)+AH34*3*(AG28+AH28)/2</f>
        <v>0</v>
      </c>
      <c r="AI33" s="196">
        <f>SUM(AE33:AH33)</f>
        <v>0</v>
      </c>
      <c r="AJ33" s="185">
        <f>(AJ31*AJ30)+AJ34*3*(AI28+AJ28)/2</f>
        <v>0</v>
      </c>
      <c r="AK33" s="185">
        <f t="shared" ref="AK33" si="73">(AK31*AK30)+AK34*3*(AJ28+AK28)/2</f>
        <v>0</v>
      </c>
      <c r="AL33" s="185">
        <f t="shared" ref="AL33" si="74">(AL31*AL30)+AL34*3*(AK28+AL28)/2</f>
        <v>0</v>
      </c>
      <c r="AM33" s="185">
        <f t="shared" ref="AM33" si="75">(AM31*AM30)+AM34*3*(AL28+AM28)/2</f>
        <v>0</v>
      </c>
      <c r="AN33" s="196">
        <f>SUM(AJ33:AM33)</f>
        <v>0</v>
      </c>
    </row>
    <row r="34" spans="1:73" s="332" customFormat="1" ht="15" thickBot="1">
      <c r="A34" s="324"/>
      <c r="B34" s="325"/>
      <c r="C34" s="333" t="s">
        <v>143</v>
      </c>
      <c r="D34" s="334"/>
      <c r="E34" s="335"/>
      <c r="F34" s="334">
        <v>127</v>
      </c>
      <c r="G34" s="334">
        <v>127</v>
      </c>
      <c r="H34" s="334">
        <v>127</v>
      </c>
      <c r="I34" s="334">
        <v>127</v>
      </c>
      <c r="J34" s="336">
        <v>127</v>
      </c>
      <c r="K34" s="334">
        <v>127</v>
      </c>
      <c r="L34" s="334">
        <v>127</v>
      </c>
      <c r="M34" s="334">
        <v>127</v>
      </c>
      <c r="N34" s="334">
        <v>127</v>
      </c>
      <c r="O34" s="336">
        <v>127</v>
      </c>
      <c r="P34" s="334">
        <v>127</v>
      </c>
      <c r="Q34" s="334">
        <v>127</v>
      </c>
      <c r="R34" s="334">
        <v>127</v>
      </c>
      <c r="S34" s="334">
        <v>127</v>
      </c>
      <c r="T34" s="336">
        <v>127</v>
      </c>
      <c r="U34" s="334">
        <v>140</v>
      </c>
      <c r="V34" s="334">
        <v>140</v>
      </c>
      <c r="W34" s="334">
        <v>140</v>
      </c>
      <c r="X34" s="334">
        <v>140</v>
      </c>
      <c r="Y34" s="336">
        <v>140</v>
      </c>
      <c r="Z34" s="334">
        <v>140</v>
      </c>
      <c r="AA34" s="334">
        <v>140</v>
      </c>
      <c r="AB34" s="334">
        <v>140</v>
      </c>
      <c r="AC34" s="334">
        <v>140</v>
      </c>
      <c r="AD34" s="337">
        <v>140</v>
      </c>
      <c r="AE34" s="334">
        <v>140</v>
      </c>
      <c r="AF34" s="334">
        <v>140</v>
      </c>
      <c r="AG34" s="334">
        <v>140</v>
      </c>
      <c r="AH34" s="334">
        <v>140</v>
      </c>
      <c r="AI34" s="337">
        <v>140</v>
      </c>
      <c r="AJ34" s="334">
        <v>140</v>
      </c>
      <c r="AK34" s="334">
        <v>140</v>
      </c>
      <c r="AL34" s="334">
        <v>140</v>
      </c>
      <c r="AM34" s="334">
        <v>140</v>
      </c>
      <c r="AN34" s="337">
        <v>140</v>
      </c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4"/>
      <c r="BE34" s="334"/>
      <c r="BF34" s="334"/>
      <c r="BG34" s="334"/>
      <c r="BH34" s="334"/>
      <c r="BI34" s="334"/>
      <c r="BJ34" s="334"/>
      <c r="BK34" s="334"/>
      <c r="BL34" s="334"/>
      <c r="BM34" s="334"/>
      <c r="BN34" s="334"/>
      <c r="BO34" s="334"/>
      <c r="BP34" s="334"/>
      <c r="BQ34" s="334"/>
      <c r="BR34" s="334"/>
      <c r="BS34" s="334"/>
      <c r="BT34" s="334"/>
      <c r="BU34" s="334"/>
    </row>
    <row r="35" spans="1:73" s="140" customFormat="1" hidden="1">
      <c r="A35" s="137"/>
      <c r="B35" s="138"/>
      <c r="C35" s="139" t="s">
        <v>74</v>
      </c>
      <c r="D35" s="141"/>
      <c r="E35" s="156"/>
      <c r="F35" s="141"/>
      <c r="G35" s="141"/>
      <c r="H35" s="141"/>
      <c r="I35" s="141"/>
      <c r="J35" s="197"/>
      <c r="K35" s="141" t="e">
        <f t="shared" ref="K35:S35" si="76">K28/J28-1</f>
        <v>#DIV/0!</v>
      </c>
      <c r="L35" s="141" t="e">
        <f t="shared" si="76"/>
        <v>#DIV/0!</v>
      </c>
      <c r="M35" s="141" t="e">
        <f t="shared" si="76"/>
        <v>#DIV/0!</v>
      </c>
      <c r="N35" s="141" t="e">
        <f t="shared" si="76"/>
        <v>#DIV/0!</v>
      </c>
      <c r="O35" s="198" t="e">
        <f t="shared" si="76"/>
        <v>#DIV/0!</v>
      </c>
      <c r="P35" s="141" t="e">
        <f t="shared" si="76"/>
        <v>#DIV/0!</v>
      </c>
      <c r="Q35" s="141" t="e">
        <f t="shared" si="76"/>
        <v>#DIV/0!</v>
      </c>
      <c r="R35" s="141" t="e">
        <f t="shared" si="76"/>
        <v>#DIV/0!</v>
      </c>
      <c r="S35" s="141" t="e">
        <f t="shared" si="76"/>
        <v>#DIV/0!</v>
      </c>
      <c r="T35" s="198" t="e">
        <f>T28/O28-1</f>
        <v>#DIV/0!</v>
      </c>
      <c r="U35" s="142" t="e">
        <f>U28/T28-1</f>
        <v>#DIV/0!</v>
      </c>
      <c r="V35" s="142" t="e">
        <f>V28/U28-1</f>
        <v>#DIV/0!</v>
      </c>
      <c r="W35" s="142" t="e">
        <f>W28/V28-1</f>
        <v>#DIV/0!</v>
      </c>
      <c r="X35" s="142" t="e">
        <f>X28/W28-1</f>
        <v>#DIV/0!</v>
      </c>
      <c r="Y35" s="198" t="e">
        <f>Y28/T28-1</f>
        <v>#DIV/0!</v>
      </c>
      <c r="Z35" s="142" t="e">
        <f>Z28/Y28-1</f>
        <v>#DIV/0!</v>
      </c>
      <c r="AA35" s="142" t="e">
        <f>AA28/Z28-1</f>
        <v>#DIV/0!</v>
      </c>
      <c r="AB35" s="142" t="e">
        <f>AB28/AA28-1</f>
        <v>#DIV/0!</v>
      </c>
      <c r="AC35" s="142" t="e">
        <f>AC28/AB28-1</f>
        <v>#DIV/0!</v>
      </c>
      <c r="AD35" s="213" t="e">
        <f>AD28/Y28-1</f>
        <v>#DIV/0!</v>
      </c>
      <c r="AE35" s="142" t="e">
        <f>AE28/AD28-1</f>
        <v>#DIV/0!</v>
      </c>
      <c r="AF35" s="142" t="e">
        <f>AF28/AE28-1</f>
        <v>#DIV/0!</v>
      </c>
      <c r="AG35" s="142" t="e">
        <f>AG28/AF28-1</f>
        <v>#DIV/0!</v>
      </c>
      <c r="AH35" s="142" t="e">
        <f>AH28/AG28-1</f>
        <v>#DIV/0!</v>
      </c>
      <c r="AI35" s="213" t="e">
        <f>AI28/AD28-1</f>
        <v>#DIV/0!</v>
      </c>
      <c r="AJ35" s="142" t="e">
        <f>AJ28/AI28-1</f>
        <v>#DIV/0!</v>
      </c>
      <c r="AK35" s="142" t="e">
        <f>AK28/AJ28-1</f>
        <v>#DIV/0!</v>
      </c>
      <c r="AL35" s="142" t="e">
        <f>AL28/AK28-1</f>
        <v>#DIV/0!</v>
      </c>
      <c r="AM35" s="142" t="e">
        <f>AM28/AL28-1</f>
        <v>#DIV/0!</v>
      </c>
      <c r="AN35" s="213" t="e">
        <f>AN28/AI28-1</f>
        <v>#DIV/0!</v>
      </c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</row>
    <row r="36" spans="1:73" s="140" customFormat="1" hidden="1">
      <c r="A36" s="137"/>
      <c r="B36" s="138"/>
      <c r="C36" s="139" t="s">
        <v>75</v>
      </c>
      <c r="D36" s="141"/>
      <c r="E36" s="156"/>
      <c r="F36" s="141"/>
      <c r="G36" s="141"/>
      <c r="H36" s="141"/>
      <c r="I36" s="141"/>
      <c r="J36" s="198"/>
      <c r="K36" s="141">
        <f>IF(F33=0,0,K33/F33-1)</f>
        <v>0</v>
      </c>
      <c r="L36" s="141">
        <f>IF(G33=0,0,L33/G33-1)</f>
        <v>0</v>
      </c>
      <c r="M36" s="141" t="e">
        <f>M33/H33-1</f>
        <v>#DIV/0!</v>
      </c>
      <c r="N36" s="141" t="e">
        <f>N33/I33-1</f>
        <v>#DIV/0!</v>
      </c>
      <c r="O36" s="198"/>
      <c r="P36" s="141" t="e">
        <f>P33/K33-1</f>
        <v>#DIV/0!</v>
      </c>
      <c r="Q36" s="141" t="e">
        <f t="shared" ref="Q36:AI36" si="77">Q33/L33-1</f>
        <v>#DIV/0!</v>
      </c>
      <c r="R36" s="141" t="e">
        <f t="shared" si="77"/>
        <v>#DIV/0!</v>
      </c>
      <c r="S36" s="141" t="e">
        <f t="shared" si="77"/>
        <v>#DIV/0!</v>
      </c>
      <c r="T36" s="198" t="e">
        <f t="shared" si="77"/>
        <v>#DIV/0!</v>
      </c>
      <c r="U36" s="142" t="e">
        <f t="shared" si="77"/>
        <v>#DIV/0!</v>
      </c>
      <c r="V36" s="142" t="e">
        <f t="shared" si="77"/>
        <v>#DIV/0!</v>
      </c>
      <c r="W36" s="142" t="e">
        <f t="shared" si="77"/>
        <v>#DIV/0!</v>
      </c>
      <c r="X36" s="142" t="e">
        <f t="shared" si="77"/>
        <v>#DIV/0!</v>
      </c>
      <c r="Y36" s="198" t="e">
        <f t="shared" si="77"/>
        <v>#DIV/0!</v>
      </c>
      <c r="Z36" s="142" t="e">
        <f t="shared" si="77"/>
        <v>#DIV/0!</v>
      </c>
      <c r="AA36" s="142" t="e">
        <f t="shared" si="77"/>
        <v>#DIV/0!</v>
      </c>
      <c r="AB36" s="142" t="e">
        <f t="shared" si="77"/>
        <v>#DIV/0!</v>
      </c>
      <c r="AC36" s="142" t="e">
        <f t="shared" si="77"/>
        <v>#DIV/0!</v>
      </c>
      <c r="AD36" s="213" t="e">
        <f t="shared" si="77"/>
        <v>#DIV/0!</v>
      </c>
      <c r="AE36" s="142" t="e">
        <f t="shared" si="77"/>
        <v>#DIV/0!</v>
      </c>
      <c r="AF36" s="142" t="e">
        <f t="shared" si="77"/>
        <v>#DIV/0!</v>
      </c>
      <c r="AG36" s="142" t="e">
        <f t="shared" si="77"/>
        <v>#DIV/0!</v>
      </c>
      <c r="AH36" s="142" t="e">
        <f t="shared" si="77"/>
        <v>#DIV/0!</v>
      </c>
      <c r="AI36" s="213" t="e">
        <f t="shared" si="77"/>
        <v>#DIV/0!</v>
      </c>
      <c r="AJ36" s="142" t="e">
        <f>AJ33/AE33-1</f>
        <v>#DIV/0!</v>
      </c>
      <c r="AK36" s="142" t="e">
        <f>AK33/AF33-1</f>
        <v>#DIV/0!</v>
      </c>
      <c r="AL36" s="142" t="e">
        <f>AL33/AG33-1</f>
        <v>#DIV/0!</v>
      </c>
      <c r="AM36" s="142" t="e">
        <f>AM33/AH33-1</f>
        <v>#DIV/0!</v>
      </c>
      <c r="AN36" s="213" t="e">
        <f>AN33/AI33-1</f>
        <v>#DIV/0!</v>
      </c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</row>
    <row r="37" spans="1:73" s="140" customFormat="1">
      <c r="A37" s="137"/>
      <c r="B37" s="138"/>
      <c r="C37" s="139" t="s">
        <v>148</v>
      </c>
      <c r="D37" s="143"/>
      <c r="E37" s="170">
        <v>161</v>
      </c>
      <c r="F37" s="338">
        <v>161</v>
      </c>
      <c r="G37" s="338">
        <v>161</v>
      </c>
      <c r="H37" s="338">
        <v>161</v>
      </c>
      <c r="I37" s="338">
        <v>161</v>
      </c>
      <c r="J37" s="339">
        <v>161</v>
      </c>
      <c r="K37" s="338">
        <v>161</v>
      </c>
      <c r="L37" s="338">
        <v>161</v>
      </c>
      <c r="M37" s="338">
        <v>161</v>
      </c>
      <c r="N37" s="338">
        <v>161</v>
      </c>
      <c r="O37" s="339">
        <v>161</v>
      </c>
      <c r="P37" s="338">
        <v>161</v>
      </c>
      <c r="Q37" s="338">
        <v>161</v>
      </c>
      <c r="R37" s="338">
        <v>161</v>
      </c>
      <c r="S37" s="338">
        <v>161</v>
      </c>
      <c r="T37" s="339">
        <v>161</v>
      </c>
      <c r="U37" s="338">
        <v>161</v>
      </c>
      <c r="V37" s="338">
        <v>161</v>
      </c>
      <c r="W37" s="338">
        <v>161</v>
      </c>
      <c r="X37" s="338">
        <v>161</v>
      </c>
      <c r="Y37" s="339">
        <v>161</v>
      </c>
      <c r="Z37" s="338">
        <v>161</v>
      </c>
      <c r="AA37" s="338">
        <v>161</v>
      </c>
      <c r="AB37" s="338">
        <v>161</v>
      </c>
      <c r="AC37" s="338">
        <v>161</v>
      </c>
      <c r="AD37" s="339">
        <v>161</v>
      </c>
      <c r="AE37" s="338">
        <v>161</v>
      </c>
      <c r="AF37" s="338">
        <v>161</v>
      </c>
      <c r="AG37" s="338">
        <v>161</v>
      </c>
      <c r="AH37" s="338">
        <v>161</v>
      </c>
      <c r="AI37" s="339">
        <v>161</v>
      </c>
      <c r="AJ37" s="338">
        <v>161</v>
      </c>
      <c r="AK37" s="338">
        <v>161</v>
      </c>
      <c r="AL37" s="338">
        <v>161</v>
      </c>
      <c r="AM37" s="338">
        <v>161</v>
      </c>
      <c r="AN37" s="339">
        <v>161</v>
      </c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</row>
    <row r="38" spans="1:73">
      <c r="C38" s="95"/>
      <c r="D38" s="96"/>
      <c r="E38" s="159"/>
      <c r="F38" s="96"/>
      <c r="G38" s="96"/>
      <c r="H38" s="96"/>
      <c r="I38" s="96"/>
      <c r="J38" s="202"/>
      <c r="K38" s="96"/>
      <c r="L38" s="96"/>
      <c r="M38" s="96"/>
      <c r="N38" s="96"/>
      <c r="O38" s="202"/>
      <c r="P38" s="96"/>
      <c r="Q38" s="96"/>
      <c r="R38" s="96"/>
      <c r="S38" s="96"/>
      <c r="T38" s="202"/>
      <c r="U38" s="96"/>
      <c r="V38" s="96"/>
      <c r="W38" s="96"/>
      <c r="X38" s="96"/>
      <c r="Y38" s="202"/>
      <c r="Z38" s="96"/>
      <c r="AA38" s="96"/>
      <c r="AB38" s="96"/>
      <c r="AC38" s="96"/>
      <c r="AD38" s="216"/>
      <c r="AE38" s="96"/>
      <c r="AF38" s="96"/>
      <c r="AG38" s="96"/>
      <c r="AH38" s="96"/>
      <c r="AI38" s="216"/>
      <c r="AJ38" s="96"/>
      <c r="AK38" s="96"/>
      <c r="AL38" s="96"/>
      <c r="AM38" s="96"/>
      <c r="AN38" s="21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</row>
    <row r="39" spans="1:73">
      <c r="C39" s="94" t="s">
        <v>78</v>
      </c>
      <c r="D39" s="98">
        <v>0.1</v>
      </c>
      <c r="E39" s="160"/>
      <c r="F39" s="96"/>
      <c r="G39" s="96"/>
      <c r="H39" s="96"/>
      <c r="I39" s="96"/>
      <c r="J39" s="202"/>
      <c r="K39" s="96"/>
      <c r="L39" s="96"/>
      <c r="M39" s="96"/>
      <c r="N39" s="96"/>
      <c r="O39" s="202"/>
      <c r="P39" s="96"/>
      <c r="Q39" s="96"/>
      <c r="R39" s="96"/>
      <c r="S39" s="96"/>
      <c r="T39" s="202"/>
      <c r="U39" s="96"/>
      <c r="V39" s="96"/>
      <c r="W39" s="96"/>
      <c r="X39" s="96"/>
      <c r="Y39" s="202"/>
      <c r="Z39" s="96"/>
      <c r="AA39" s="96"/>
      <c r="AB39" s="96"/>
      <c r="AC39" s="96"/>
      <c r="AD39" s="216"/>
    </row>
    <row r="40" spans="1:73" ht="15" thickBot="1">
      <c r="C40" s="95"/>
      <c r="D40" s="96"/>
      <c r="E40" s="159"/>
      <c r="F40" s="96"/>
      <c r="G40" s="96"/>
      <c r="H40" s="96"/>
      <c r="I40" s="96"/>
      <c r="J40" s="202"/>
      <c r="K40" s="96"/>
      <c r="L40" s="96"/>
      <c r="M40" s="96"/>
      <c r="N40" s="96"/>
      <c r="O40" s="202"/>
      <c r="P40" s="96"/>
      <c r="Q40" s="96"/>
      <c r="R40" s="96"/>
      <c r="S40" s="96"/>
      <c r="T40" s="202"/>
      <c r="U40" s="96"/>
      <c r="V40" s="96"/>
      <c r="W40" s="96"/>
      <c r="X40" s="96"/>
      <c r="Y40" s="202"/>
      <c r="Z40" s="96"/>
      <c r="AA40" s="96"/>
      <c r="AB40" s="96"/>
      <c r="AC40" s="96"/>
      <c r="AD40" s="216"/>
    </row>
    <row r="41" spans="1:73" s="225" customFormat="1" ht="15" thickBot="1">
      <c r="A41" s="232"/>
      <c r="B41" s="232"/>
      <c r="C41" s="233" t="s">
        <v>79</v>
      </c>
      <c r="D41" s="234"/>
      <c r="E41" s="234">
        <f>(E33+E21+E9)*1000</f>
        <v>0</v>
      </c>
      <c r="F41" s="234">
        <f t="shared" ref="F41:AN41" si="78">(F33+F21+F9)</f>
        <v>41699</v>
      </c>
      <c r="G41" s="234">
        <f t="shared" si="78"/>
        <v>193844</v>
      </c>
      <c r="H41" s="234">
        <f t="shared" si="78"/>
        <v>218638</v>
      </c>
      <c r="I41" s="234">
        <f t="shared" si="78"/>
        <v>231035.00000000003</v>
      </c>
      <c r="J41" s="239">
        <f t="shared" si="78"/>
        <v>685216</v>
      </c>
      <c r="K41" s="234">
        <f t="shared" si="78"/>
        <v>216731.76000000004</v>
      </c>
      <c r="L41" s="234">
        <f t="shared" si="78"/>
        <v>216731.76000000004</v>
      </c>
      <c r="M41" s="234">
        <f t="shared" si="78"/>
        <v>216731.76000000004</v>
      </c>
      <c r="N41" s="234">
        <f t="shared" si="78"/>
        <v>216731.76000000004</v>
      </c>
      <c r="O41" s="239">
        <f t="shared" si="78"/>
        <v>866927.04000000015</v>
      </c>
      <c r="P41" s="234">
        <f t="shared" si="78"/>
        <v>220834.04000000004</v>
      </c>
      <c r="Q41" s="234">
        <f t="shared" si="78"/>
        <v>217350.00000000003</v>
      </c>
      <c r="R41" s="234">
        <f t="shared" si="78"/>
        <v>217350.00000000003</v>
      </c>
      <c r="S41" s="234">
        <f t="shared" si="78"/>
        <v>217350.00000000003</v>
      </c>
      <c r="T41" s="239">
        <f t="shared" si="78"/>
        <v>872884.04000000015</v>
      </c>
      <c r="U41" s="234">
        <f t="shared" si="78"/>
        <v>217158.41</v>
      </c>
      <c r="V41" s="234">
        <f t="shared" si="78"/>
        <v>213674.37</v>
      </c>
      <c r="W41" s="234">
        <f t="shared" si="78"/>
        <v>213674.37</v>
      </c>
      <c r="X41" s="234">
        <f t="shared" si="78"/>
        <v>213674.37</v>
      </c>
      <c r="Y41" s="239">
        <f t="shared" si="78"/>
        <v>858181.52</v>
      </c>
      <c r="Z41" s="234">
        <f t="shared" si="78"/>
        <v>213634.44200000001</v>
      </c>
      <c r="AA41" s="234">
        <f t="shared" si="78"/>
        <v>210203.53200000001</v>
      </c>
      <c r="AB41" s="234">
        <f t="shared" si="78"/>
        <v>210203.53200000001</v>
      </c>
      <c r="AC41" s="234">
        <f t="shared" si="78"/>
        <v>210203.53200000001</v>
      </c>
      <c r="AD41" s="239">
        <f t="shared" si="78"/>
        <v>844245.03799999994</v>
      </c>
      <c r="AE41" s="234">
        <f t="shared" si="78"/>
        <v>205916.48839999997</v>
      </c>
      <c r="AF41" s="234">
        <f t="shared" si="78"/>
        <v>202485.57839999997</v>
      </c>
      <c r="AG41" s="234">
        <f t="shared" si="78"/>
        <v>202485.57839999997</v>
      </c>
      <c r="AH41" s="234">
        <f t="shared" si="78"/>
        <v>202485.57839999997</v>
      </c>
      <c r="AI41" s="239">
        <f t="shared" si="78"/>
        <v>813373.22359999991</v>
      </c>
      <c r="AJ41" s="234">
        <f t="shared" si="78"/>
        <v>200393.05109599995</v>
      </c>
      <c r="AK41" s="234">
        <f t="shared" si="78"/>
        <v>197022.51609599998</v>
      </c>
      <c r="AL41" s="234">
        <f t="shared" si="78"/>
        <v>197022.51609599998</v>
      </c>
      <c r="AM41" s="234">
        <f t="shared" si="78"/>
        <v>197022.51609599998</v>
      </c>
      <c r="AN41" s="243">
        <f t="shared" si="78"/>
        <v>791460.59938399983</v>
      </c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</row>
    <row r="42" spans="1:73" s="186" customFormat="1">
      <c r="A42" s="187"/>
      <c r="B42" s="188"/>
      <c r="C42" s="189"/>
      <c r="D42" s="190"/>
      <c r="E42" s="190"/>
      <c r="F42" s="190"/>
      <c r="G42" s="190"/>
      <c r="H42" s="190"/>
      <c r="I42" s="190"/>
      <c r="J42" s="203"/>
      <c r="K42" s="190"/>
      <c r="L42" s="190"/>
      <c r="M42" s="190"/>
      <c r="N42" s="190"/>
      <c r="O42" s="203"/>
      <c r="P42" s="190"/>
      <c r="Q42" s="190"/>
      <c r="R42" s="190"/>
      <c r="S42" s="190"/>
      <c r="T42" s="203"/>
      <c r="U42" s="190"/>
      <c r="V42" s="190"/>
      <c r="W42" s="190"/>
      <c r="X42" s="190"/>
      <c r="Y42" s="203"/>
      <c r="Z42" s="190"/>
      <c r="AA42" s="190"/>
      <c r="AB42" s="190"/>
      <c r="AC42" s="190"/>
      <c r="AD42" s="203"/>
      <c r="AE42" s="190"/>
      <c r="AF42" s="190"/>
      <c r="AG42" s="190"/>
      <c r="AH42" s="190"/>
      <c r="AI42" s="203"/>
      <c r="AJ42" s="190"/>
      <c r="AK42" s="190"/>
      <c r="AL42" s="190"/>
      <c r="AM42" s="190"/>
      <c r="AN42" s="203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</row>
    <row r="43" spans="1:73" s="110" customFormat="1">
      <c r="A43" s="121"/>
      <c r="B43" s="155"/>
      <c r="C43" s="121"/>
      <c r="J43" s="154"/>
      <c r="O43" s="154"/>
      <c r="T43" s="154"/>
      <c r="Y43" s="154"/>
      <c r="AD43" s="154"/>
      <c r="AI43" s="154"/>
      <c r="AN43" s="154"/>
    </row>
    <row r="44" spans="1:73" s="225" customFormat="1" ht="15" thickBot="1">
      <c r="A44" s="222"/>
      <c r="B44" s="222"/>
      <c r="C44" s="223" t="s">
        <v>80</v>
      </c>
      <c r="D44" s="224"/>
      <c r="E44" s="224"/>
      <c r="F44" s="224"/>
      <c r="G44" s="224"/>
      <c r="H44" s="224"/>
      <c r="I44" s="224"/>
      <c r="J44" s="221"/>
      <c r="K44" s="224"/>
      <c r="L44" s="224"/>
      <c r="M44" s="224"/>
      <c r="N44" s="224"/>
      <c r="O44" s="221"/>
      <c r="P44" s="224"/>
      <c r="Q44" s="224"/>
      <c r="R44" s="224"/>
      <c r="S44" s="224"/>
      <c r="T44" s="221"/>
      <c r="U44" s="224"/>
      <c r="V44" s="224"/>
      <c r="W44" s="224"/>
      <c r="X44" s="224"/>
      <c r="Y44" s="221"/>
      <c r="Z44" s="224"/>
      <c r="AA44" s="224"/>
      <c r="AB44" s="224"/>
      <c r="AC44" s="224"/>
      <c r="AD44" s="221"/>
      <c r="AE44" s="224"/>
      <c r="AF44" s="224"/>
      <c r="AG44" s="224"/>
      <c r="AH44" s="224"/>
      <c r="AI44" s="221"/>
      <c r="AJ44" s="224"/>
      <c r="AK44" s="224"/>
      <c r="AL44" s="224"/>
      <c r="AM44" s="224"/>
      <c r="AN44" s="221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</row>
    <row r="45" spans="1:73" s="99" customFormat="1" outlineLevel="1">
      <c r="A45" s="94"/>
      <c r="B45" s="93"/>
      <c r="C45" s="100" t="s">
        <v>81</v>
      </c>
      <c r="D45" s="226" t="s">
        <v>154</v>
      </c>
      <c r="E45" s="226"/>
      <c r="F45" s="226">
        <f>ROUND(IF(F4*0.18&lt;100,100,F4*0.18),1)</f>
        <v>100</v>
      </c>
      <c r="G45" s="226">
        <f>ROUND(IF(G4*0.18&lt;100,100,G4*0.18),1)</f>
        <v>100</v>
      </c>
      <c r="H45" s="226">
        <f>ROUND(IF(H4*0.18&lt;100,100,H4*0.18),1)</f>
        <v>100</v>
      </c>
      <c r="I45" s="226">
        <f>ROUND(IF(I4*0.18&lt;100,100,I4*0.18),1)</f>
        <v>100</v>
      </c>
      <c r="J45" s="240">
        <f>ROUND(IF(J4*0.18&lt;100,100,J4*0.18),1)</f>
        <v>100</v>
      </c>
      <c r="K45" s="226">
        <f t="shared" ref="K45:AN45" si="79">ROUND(IF(K4*0.18&lt;100,100,K4*0.18),1)</f>
        <v>100</v>
      </c>
      <c r="L45" s="226">
        <f t="shared" si="79"/>
        <v>100</v>
      </c>
      <c r="M45" s="226">
        <f t="shared" si="79"/>
        <v>100</v>
      </c>
      <c r="N45" s="226">
        <f t="shared" si="79"/>
        <v>100</v>
      </c>
      <c r="O45" s="240">
        <f t="shared" si="79"/>
        <v>100</v>
      </c>
      <c r="P45" s="226">
        <f t="shared" si="79"/>
        <v>100</v>
      </c>
      <c r="Q45" s="226">
        <f t="shared" si="79"/>
        <v>100</v>
      </c>
      <c r="R45" s="226">
        <f t="shared" si="79"/>
        <v>100</v>
      </c>
      <c r="S45" s="226">
        <f t="shared" si="79"/>
        <v>100</v>
      </c>
      <c r="T45" s="240">
        <f t="shared" si="79"/>
        <v>100</v>
      </c>
      <c r="U45" s="226">
        <f t="shared" si="79"/>
        <v>100</v>
      </c>
      <c r="V45" s="226">
        <f t="shared" si="79"/>
        <v>100</v>
      </c>
      <c r="W45" s="226">
        <f t="shared" si="79"/>
        <v>100</v>
      </c>
      <c r="X45" s="226">
        <f t="shared" si="79"/>
        <v>100</v>
      </c>
      <c r="Y45" s="240">
        <f t="shared" si="79"/>
        <v>100</v>
      </c>
      <c r="Z45" s="226">
        <f t="shared" si="79"/>
        <v>100</v>
      </c>
      <c r="AA45" s="226">
        <f t="shared" si="79"/>
        <v>100</v>
      </c>
      <c r="AB45" s="226">
        <f t="shared" si="79"/>
        <v>100</v>
      </c>
      <c r="AC45" s="226">
        <f t="shared" si="79"/>
        <v>100</v>
      </c>
      <c r="AD45" s="240">
        <f t="shared" si="79"/>
        <v>100</v>
      </c>
      <c r="AE45" s="226">
        <f t="shared" si="79"/>
        <v>100</v>
      </c>
      <c r="AF45" s="226">
        <f t="shared" si="79"/>
        <v>100</v>
      </c>
      <c r="AG45" s="226">
        <f t="shared" si="79"/>
        <v>100</v>
      </c>
      <c r="AH45" s="226">
        <f t="shared" si="79"/>
        <v>100</v>
      </c>
      <c r="AI45" s="240">
        <f t="shared" si="79"/>
        <v>100</v>
      </c>
      <c r="AJ45" s="226">
        <f t="shared" si="79"/>
        <v>100</v>
      </c>
      <c r="AK45" s="226">
        <f t="shared" si="79"/>
        <v>100</v>
      </c>
      <c r="AL45" s="226">
        <f t="shared" si="79"/>
        <v>100</v>
      </c>
      <c r="AM45" s="226">
        <f t="shared" si="79"/>
        <v>100</v>
      </c>
      <c r="AN45" s="240">
        <f t="shared" si="79"/>
        <v>100</v>
      </c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</row>
    <row r="46" spans="1:73" s="99" customFormat="1" outlineLevel="1">
      <c r="A46" s="94"/>
      <c r="B46" s="93"/>
      <c r="C46" s="102" t="s">
        <v>82</v>
      </c>
      <c r="D46" s="340">
        <v>0</v>
      </c>
      <c r="E46" s="161"/>
      <c r="F46" s="104">
        <f>$D$46*F45</f>
        <v>0</v>
      </c>
      <c r="G46" s="104">
        <f t="shared" ref="G46:I46" si="80">$D$46*G45</f>
        <v>0</v>
      </c>
      <c r="H46" s="104">
        <f t="shared" si="80"/>
        <v>0</v>
      </c>
      <c r="I46" s="104">
        <f t="shared" si="80"/>
        <v>0</v>
      </c>
      <c r="J46" s="204">
        <f t="shared" ref="J46:J49" si="81">SUM(F46:I46)</f>
        <v>0</v>
      </c>
      <c r="K46" s="104">
        <f>$D$46*K45</f>
        <v>0</v>
      </c>
      <c r="L46" s="104">
        <f t="shared" ref="L46" si="82">$D$46*L45</f>
        <v>0</v>
      </c>
      <c r="M46" s="104">
        <f t="shared" ref="M46" si="83">$D$46*M45</f>
        <v>0</v>
      </c>
      <c r="N46" s="104">
        <f t="shared" ref="N46" si="84">$D$46*N45</f>
        <v>0</v>
      </c>
      <c r="O46" s="204">
        <f t="shared" ref="O46" si="85">SUM(K46:N46)</f>
        <v>0</v>
      </c>
      <c r="P46" s="104">
        <f>$D$46*P45</f>
        <v>0</v>
      </c>
      <c r="Q46" s="104">
        <f t="shared" ref="Q46" si="86">$D$46*Q45</f>
        <v>0</v>
      </c>
      <c r="R46" s="104">
        <f t="shared" ref="R46" si="87">$D$46*R45</f>
        <v>0</v>
      </c>
      <c r="S46" s="104">
        <f t="shared" ref="S46" si="88">$D$46*S45</f>
        <v>0</v>
      </c>
      <c r="T46" s="204">
        <f t="shared" ref="T46" si="89">SUM(P46:S46)</f>
        <v>0</v>
      </c>
      <c r="U46" s="104">
        <f>$D$46*U45</f>
        <v>0</v>
      </c>
      <c r="V46" s="104">
        <f t="shared" ref="V46" si="90">$D$46*V45</f>
        <v>0</v>
      </c>
      <c r="W46" s="104">
        <f t="shared" ref="W46" si="91">$D$46*W45</f>
        <v>0</v>
      </c>
      <c r="X46" s="104">
        <f t="shared" ref="X46" si="92">$D$46*X45</f>
        <v>0</v>
      </c>
      <c r="Y46" s="204">
        <f t="shared" ref="Y46" si="93">SUM(U46:X46)</f>
        <v>0</v>
      </c>
      <c r="Z46" s="104">
        <f>$D$46*Z45</f>
        <v>0</v>
      </c>
      <c r="AA46" s="104">
        <f t="shared" ref="AA46" si="94">$D$46*AA45</f>
        <v>0</v>
      </c>
      <c r="AB46" s="104">
        <f t="shared" ref="AB46" si="95">$D$46*AB45</f>
        <v>0</v>
      </c>
      <c r="AC46" s="104">
        <f t="shared" ref="AC46" si="96">$D$46*AC45</f>
        <v>0</v>
      </c>
      <c r="AD46" s="204">
        <f t="shared" ref="AD46" si="97">SUM(Z46:AC46)</f>
        <v>0</v>
      </c>
      <c r="AE46" s="104">
        <f>$D$46*AE45</f>
        <v>0</v>
      </c>
      <c r="AF46" s="104">
        <f t="shared" ref="AF46" si="98">$D$46*AF45</f>
        <v>0</v>
      </c>
      <c r="AG46" s="104">
        <f t="shared" ref="AG46" si="99">$D$46*AG45</f>
        <v>0</v>
      </c>
      <c r="AH46" s="104">
        <f t="shared" ref="AH46" si="100">$D$46*AH45</f>
        <v>0</v>
      </c>
      <c r="AI46" s="204">
        <f t="shared" ref="AI46" si="101">SUM(AE46:AH46)</f>
        <v>0</v>
      </c>
      <c r="AJ46" s="104">
        <f>$D$46*AJ45</f>
        <v>0</v>
      </c>
      <c r="AK46" s="104">
        <f t="shared" ref="AK46" si="102">$D$46*AK45</f>
        <v>0</v>
      </c>
      <c r="AL46" s="104">
        <f t="shared" ref="AL46" si="103">$D$46*AL45</f>
        <v>0</v>
      </c>
      <c r="AM46" s="104">
        <f t="shared" ref="AM46" si="104">$D$46*AM45</f>
        <v>0</v>
      </c>
      <c r="AN46" s="204">
        <f t="shared" ref="AN46" si="105">SUM(AJ46:AM46)</f>
        <v>0</v>
      </c>
      <c r="AO46" s="104"/>
      <c r="AP46" s="104"/>
      <c r="AQ46" s="104"/>
      <c r="AR46" s="104"/>
      <c r="AS46" s="105"/>
      <c r="AT46" s="104"/>
      <c r="AU46" s="104"/>
      <c r="AV46" s="104"/>
      <c r="AW46" s="104"/>
      <c r="AX46" s="105"/>
      <c r="AY46" s="104"/>
      <c r="AZ46" s="104"/>
      <c r="BA46" s="104"/>
      <c r="BB46" s="104"/>
      <c r="BC46" s="105"/>
      <c r="BD46" s="104">
        <v>0</v>
      </c>
      <c r="BE46" s="104"/>
      <c r="BF46" s="104"/>
      <c r="BG46" s="104"/>
      <c r="BH46" s="105"/>
      <c r="BI46" s="104"/>
      <c r="BJ46" s="104"/>
      <c r="BK46" s="104"/>
      <c r="BL46" s="104"/>
      <c r="BM46" s="105"/>
      <c r="BN46" s="104"/>
      <c r="BO46" s="104"/>
      <c r="BP46" s="104"/>
      <c r="BQ46" s="104"/>
      <c r="BR46" s="105"/>
      <c r="BS46" s="104"/>
      <c r="BT46" s="104"/>
      <c r="BU46" s="104"/>
    </row>
    <row r="47" spans="1:73" s="99" customFormat="1" outlineLevel="1">
      <c r="A47" s="94"/>
      <c r="B47" s="93"/>
      <c r="C47" s="102" t="s">
        <v>83</v>
      </c>
      <c r="D47" s="341">
        <v>0.05</v>
      </c>
      <c r="E47" s="162"/>
      <c r="F47" s="99">
        <f>САРЕХ!$E$41*'Бизнес-план'!$D$47</f>
        <v>22874.1436875</v>
      </c>
      <c r="G47" s="99">
        <f>САРЕХ!$E$41*'Бизнес-план'!$D$47</f>
        <v>22874.1436875</v>
      </c>
      <c r="H47" s="99">
        <f>САРЕХ!$E$41*'Бизнес-план'!$D$47</f>
        <v>22874.1436875</v>
      </c>
      <c r="I47" s="99">
        <f>САРЕХ!$E$41*'Бизнес-план'!$D$47</f>
        <v>22874.1436875</v>
      </c>
      <c r="J47" s="204">
        <f t="shared" si="81"/>
        <v>91496.57475</v>
      </c>
      <c r="K47" s="99">
        <f>САРЕХ!$E$41*'Бизнес-план'!$D$47</f>
        <v>22874.1436875</v>
      </c>
      <c r="L47" s="99">
        <f>САРЕХ!$E$41*'Бизнес-план'!$D$47</f>
        <v>22874.1436875</v>
      </c>
      <c r="M47" s="99">
        <f>САРЕХ!$E$41*'Бизнес-план'!$D$47</f>
        <v>22874.1436875</v>
      </c>
      <c r="N47" s="99">
        <f>САРЕХ!$E$41*'Бизнес-план'!$D$47</f>
        <v>22874.1436875</v>
      </c>
      <c r="O47" s="204">
        <f t="shared" ref="O47" si="106">SUM(K47:N47)</f>
        <v>91496.57475</v>
      </c>
      <c r="P47" s="99">
        <f>САРЕХ!$E$41*'Бизнес-план'!$D$47</f>
        <v>22874.1436875</v>
      </c>
      <c r="Q47" s="99">
        <f>САРЕХ!$E$41*'Бизнес-план'!$D$47</f>
        <v>22874.1436875</v>
      </c>
      <c r="R47" s="99">
        <f>САРЕХ!$E$41*'Бизнес-план'!$D$47</f>
        <v>22874.1436875</v>
      </c>
      <c r="S47" s="99">
        <f>САРЕХ!$E$41*'Бизнес-план'!$D$47</f>
        <v>22874.1436875</v>
      </c>
      <c r="T47" s="204">
        <f t="shared" ref="T47" si="107">SUM(P47:S47)</f>
        <v>91496.57475</v>
      </c>
      <c r="U47" s="99">
        <f>САРЕХ!$E$41*'Бизнес-план'!$D$47</f>
        <v>22874.1436875</v>
      </c>
      <c r="V47" s="99">
        <f>САРЕХ!$E$41*'Бизнес-план'!$D$47</f>
        <v>22874.1436875</v>
      </c>
      <c r="W47" s="99">
        <f>САРЕХ!$E$41*'Бизнес-план'!$D$47</f>
        <v>22874.1436875</v>
      </c>
      <c r="X47" s="99">
        <f>САРЕХ!$E$41*'Бизнес-план'!$D$47</f>
        <v>22874.1436875</v>
      </c>
      <c r="Y47" s="204">
        <f t="shared" ref="Y47" si="108">SUM(U47:X47)</f>
        <v>91496.57475</v>
      </c>
      <c r="Z47" s="99">
        <f>САРЕХ!$E$41*'Бизнес-план'!$D$47</f>
        <v>22874.1436875</v>
      </c>
      <c r="AA47" s="99">
        <f>САРЕХ!$E$41*'Бизнес-план'!$D$47</f>
        <v>22874.1436875</v>
      </c>
      <c r="AB47" s="99">
        <f>САРЕХ!$E$41*'Бизнес-план'!$D$47</f>
        <v>22874.1436875</v>
      </c>
      <c r="AC47" s="99">
        <f>САРЕХ!$E$41*'Бизнес-план'!$D$47</f>
        <v>22874.1436875</v>
      </c>
      <c r="AD47" s="204">
        <f t="shared" ref="AD47" si="109">SUM(Z47:AC47)</f>
        <v>91496.57475</v>
      </c>
      <c r="AE47" s="99">
        <f>САРЕХ!$E$41*'Бизнес-план'!$D$47</f>
        <v>22874.1436875</v>
      </c>
      <c r="AF47" s="99">
        <f>САРЕХ!$E$41*'Бизнес-план'!$D$47</f>
        <v>22874.1436875</v>
      </c>
      <c r="AG47" s="99">
        <f>САРЕХ!$E$41*'Бизнес-план'!$D$47</f>
        <v>22874.1436875</v>
      </c>
      <c r="AH47" s="99">
        <f>САРЕХ!$E$41*'Бизнес-план'!$D$47</f>
        <v>22874.1436875</v>
      </c>
      <c r="AI47" s="204">
        <f t="shared" ref="AI47" si="110">SUM(AE47:AH47)</f>
        <v>91496.57475</v>
      </c>
      <c r="AJ47" s="99">
        <f>САРЕХ!$E$41*'Бизнес-план'!$D$47</f>
        <v>22874.1436875</v>
      </c>
      <c r="AK47" s="99">
        <f>САРЕХ!$E$41*'Бизнес-план'!$D$47</f>
        <v>22874.1436875</v>
      </c>
      <c r="AL47" s="99">
        <f>САРЕХ!$E$41*'Бизнес-план'!$D$47</f>
        <v>22874.1436875</v>
      </c>
      <c r="AM47" s="99">
        <f>САРЕХ!$E$41*'Бизнес-план'!$D$47</f>
        <v>22874.1436875</v>
      </c>
      <c r="AN47" s="204">
        <f t="shared" ref="AN47" si="111">SUM(AJ47:AM47)</f>
        <v>91496.57475</v>
      </c>
      <c r="AS47" s="105"/>
      <c r="AX47" s="105"/>
      <c r="BC47" s="105"/>
      <c r="BH47" s="105"/>
      <c r="BM47" s="105"/>
      <c r="BR47" s="105"/>
    </row>
    <row r="48" spans="1:73" s="99" customFormat="1" outlineLevel="1">
      <c r="A48" s="94"/>
      <c r="B48" s="93"/>
      <c r="C48" s="100" t="s">
        <v>84</v>
      </c>
      <c r="D48" s="230"/>
      <c r="E48" s="163"/>
      <c r="F48" s="99">
        <f>(Персонал!$P$138+Персонал!$P$145)/12*3</f>
        <v>0</v>
      </c>
      <c r="G48" s="99">
        <f>(Персонал!$P$138+Персонал!$P$145)/12*3</f>
        <v>0</v>
      </c>
      <c r="H48" s="99">
        <f>(Персонал!$P$138+Персонал!$P$145)/12*3</f>
        <v>0</v>
      </c>
      <c r="I48" s="99">
        <f>(Персонал!$P$138+Персонал!$P$145)/12*3</f>
        <v>0</v>
      </c>
      <c r="J48" s="204">
        <f t="shared" si="81"/>
        <v>0</v>
      </c>
      <c r="K48" s="99">
        <v>0</v>
      </c>
      <c r="L48" s="99">
        <v>0</v>
      </c>
      <c r="M48" s="99">
        <v>0</v>
      </c>
      <c r="N48" s="99">
        <v>0</v>
      </c>
      <c r="O48" s="204">
        <f t="shared" ref="O48:O49" si="112">SUM(K48:N48)</f>
        <v>0</v>
      </c>
      <c r="P48" s="99">
        <f t="shared" ref="P48:S49" si="113">K48*(1+$D$39)</f>
        <v>0</v>
      </c>
      <c r="Q48" s="99">
        <f t="shared" si="113"/>
        <v>0</v>
      </c>
      <c r="R48" s="99">
        <f t="shared" si="113"/>
        <v>0</v>
      </c>
      <c r="S48" s="99">
        <f t="shared" si="113"/>
        <v>0</v>
      </c>
      <c r="T48" s="204">
        <f t="shared" ref="T48:T49" si="114">SUM(P48:S48)</f>
        <v>0</v>
      </c>
      <c r="U48" s="99">
        <f t="shared" ref="U48:X49" si="115">P48*(1+$D$39)</f>
        <v>0</v>
      </c>
      <c r="V48" s="99">
        <f t="shared" si="115"/>
        <v>0</v>
      </c>
      <c r="W48" s="99">
        <f t="shared" si="115"/>
        <v>0</v>
      </c>
      <c r="X48" s="99">
        <f t="shared" si="115"/>
        <v>0</v>
      </c>
      <c r="Y48" s="204">
        <f t="shared" ref="Y48:Y49" si="116">SUM(U48:X48)</f>
        <v>0</v>
      </c>
      <c r="Z48" s="99">
        <f t="shared" ref="Z48:AC49" si="117">U48*(1+$D$39)</f>
        <v>0</v>
      </c>
      <c r="AA48" s="99">
        <f t="shared" si="117"/>
        <v>0</v>
      </c>
      <c r="AB48" s="99">
        <f t="shared" si="117"/>
        <v>0</v>
      </c>
      <c r="AC48" s="99">
        <f t="shared" si="117"/>
        <v>0</v>
      </c>
      <c r="AD48" s="204">
        <f t="shared" ref="AD48:AD49" si="118">SUM(Z48:AC48)</f>
        <v>0</v>
      </c>
      <c r="AE48" s="99">
        <f t="shared" ref="AE48:AH49" si="119">Z48*(1+$D$39)</f>
        <v>0</v>
      </c>
      <c r="AF48" s="99">
        <f t="shared" si="119"/>
        <v>0</v>
      </c>
      <c r="AG48" s="99">
        <f t="shared" si="119"/>
        <v>0</v>
      </c>
      <c r="AH48" s="99">
        <f t="shared" si="119"/>
        <v>0</v>
      </c>
      <c r="AI48" s="204">
        <f t="shared" ref="AI48:AI49" si="120">SUM(AE48:AH48)</f>
        <v>0</v>
      </c>
      <c r="AJ48" s="99">
        <f t="shared" ref="AJ48:AM49" si="121">AE48*(1+$D$39)</f>
        <v>0</v>
      </c>
      <c r="AK48" s="99">
        <f t="shared" si="121"/>
        <v>0</v>
      </c>
      <c r="AL48" s="99">
        <f t="shared" si="121"/>
        <v>0</v>
      </c>
      <c r="AM48" s="99">
        <f t="shared" si="121"/>
        <v>0</v>
      </c>
      <c r="AN48" s="204">
        <f t="shared" ref="AN48:AN49" si="122">SUM(AJ48:AM48)</f>
        <v>0</v>
      </c>
      <c r="AS48" s="105"/>
      <c r="AX48" s="105"/>
      <c r="BC48" s="105"/>
      <c r="BH48" s="105"/>
      <c r="BM48" s="105"/>
      <c r="BR48" s="105"/>
    </row>
    <row r="49" spans="1:73" s="99" customFormat="1" outlineLevel="1">
      <c r="A49" s="94"/>
      <c r="B49" s="93"/>
      <c r="C49" s="100" t="s">
        <v>85</v>
      </c>
      <c r="D49" s="231"/>
      <c r="E49" s="164"/>
      <c r="F49" s="99">
        <f t="shared" ref="F49:G49" si="123">$D$49*3000/12*3</f>
        <v>0</v>
      </c>
      <c r="G49" s="99">
        <f t="shared" si="123"/>
        <v>0</v>
      </c>
      <c r="H49" s="99">
        <f>$D$49*3000/12*3</f>
        <v>0</v>
      </c>
      <c r="I49" s="99">
        <f>$D$49*3000/12*3</f>
        <v>0</v>
      </c>
      <c r="J49" s="204">
        <f t="shared" si="81"/>
        <v>0</v>
      </c>
      <c r="K49" s="99">
        <f>$D$49*3000/12*3</f>
        <v>0</v>
      </c>
      <c r="L49" s="99">
        <f>$D$49*3000/12*3</f>
        <v>0</v>
      </c>
      <c r="M49" s="99">
        <v>0</v>
      </c>
      <c r="N49" s="99">
        <f>$D$49*3000/12*3</f>
        <v>0</v>
      </c>
      <c r="O49" s="204">
        <f t="shared" si="112"/>
        <v>0</v>
      </c>
      <c r="P49" s="99">
        <f t="shared" si="113"/>
        <v>0</v>
      </c>
      <c r="Q49" s="99">
        <f t="shared" si="113"/>
        <v>0</v>
      </c>
      <c r="R49" s="99">
        <f t="shared" si="113"/>
        <v>0</v>
      </c>
      <c r="S49" s="99">
        <f t="shared" si="113"/>
        <v>0</v>
      </c>
      <c r="T49" s="204">
        <f t="shared" si="114"/>
        <v>0</v>
      </c>
      <c r="U49" s="99">
        <f t="shared" si="115"/>
        <v>0</v>
      </c>
      <c r="V49" s="99">
        <f t="shared" si="115"/>
        <v>0</v>
      </c>
      <c r="W49" s="99">
        <f t="shared" si="115"/>
        <v>0</v>
      </c>
      <c r="X49" s="99">
        <f t="shared" si="115"/>
        <v>0</v>
      </c>
      <c r="Y49" s="204">
        <f t="shared" si="116"/>
        <v>0</v>
      </c>
      <c r="Z49" s="99">
        <f t="shared" si="117"/>
        <v>0</v>
      </c>
      <c r="AA49" s="99">
        <f t="shared" si="117"/>
        <v>0</v>
      </c>
      <c r="AB49" s="99">
        <f t="shared" si="117"/>
        <v>0</v>
      </c>
      <c r="AC49" s="99">
        <f t="shared" si="117"/>
        <v>0</v>
      </c>
      <c r="AD49" s="204">
        <f t="shared" si="118"/>
        <v>0</v>
      </c>
      <c r="AE49" s="99">
        <f t="shared" si="119"/>
        <v>0</v>
      </c>
      <c r="AF49" s="99">
        <f t="shared" si="119"/>
        <v>0</v>
      </c>
      <c r="AG49" s="99">
        <f t="shared" si="119"/>
        <v>0</v>
      </c>
      <c r="AH49" s="99">
        <f t="shared" si="119"/>
        <v>0</v>
      </c>
      <c r="AI49" s="204">
        <f t="shared" si="120"/>
        <v>0</v>
      </c>
      <c r="AJ49" s="99">
        <f t="shared" si="121"/>
        <v>0</v>
      </c>
      <c r="AK49" s="99">
        <f t="shared" si="121"/>
        <v>0</v>
      </c>
      <c r="AL49" s="99">
        <f t="shared" si="121"/>
        <v>0</v>
      </c>
      <c r="AM49" s="99">
        <f t="shared" si="121"/>
        <v>0</v>
      </c>
      <c r="AN49" s="204">
        <f t="shared" si="122"/>
        <v>0</v>
      </c>
      <c r="AS49" s="105"/>
      <c r="AX49" s="105"/>
      <c r="BC49" s="105"/>
      <c r="BH49" s="105"/>
      <c r="BM49" s="105"/>
      <c r="BR49" s="105"/>
    </row>
    <row r="50" spans="1:73" s="99" customFormat="1" outlineLevel="1">
      <c r="A50" s="94"/>
      <c r="B50" s="93"/>
      <c r="C50" s="100" t="s">
        <v>206</v>
      </c>
      <c r="D50" s="315">
        <v>1593</v>
      </c>
      <c r="E50" s="228"/>
      <c r="F50" s="99">
        <f>$D$50*F6</f>
        <v>25647.300000000003</v>
      </c>
      <c r="G50" s="99">
        <f t="shared" ref="G50:I50" si="124">$D$50*G6</f>
        <v>102589.20000000001</v>
      </c>
      <c r="H50" s="99">
        <f t="shared" si="124"/>
        <v>51294.599999999984</v>
      </c>
      <c r="I50" s="99">
        <f t="shared" si="124"/>
        <v>25647.300000000036</v>
      </c>
      <c r="J50" s="204">
        <f>SUM(F50:I50)</f>
        <v>205178.40000000005</v>
      </c>
      <c r="K50" s="99">
        <f>$D$50*K6</f>
        <v>0</v>
      </c>
      <c r="L50" s="99">
        <f t="shared" ref="L50:N50" si="125">$D$50*L6</f>
        <v>0</v>
      </c>
      <c r="M50" s="99">
        <f t="shared" si="125"/>
        <v>0</v>
      </c>
      <c r="N50" s="99">
        <f t="shared" si="125"/>
        <v>0</v>
      </c>
      <c r="O50" s="204">
        <f>SUM(K50:N50)</f>
        <v>0</v>
      </c>
      <c r="P50" s="99">
        <f>$D$50*P6</f>
        <v>0</v>
      </c>
      <c r="Q50" s="99">
        <f t="shared" ref="Q50:S50" si="126">$D$50*Q6</f>
        <v>0</v>
      </c>
      <c r="R50" s="99">
        <f t="shared" si="126"/>
        <v>0</v>
      </c>
      <c r="S50" s="99">
        <f t="shared" si="126"/>
        <v>0</v>
      </c>
      <c r="T50" s="204">
        <f>SUM(P50:S50)</f>
        <v>0</v>
      </c>
      <c r="U50" s="99">
        <f>$D$50*U6</f>
        <v>0</v>
      </c>
      <c r="V50" s="99">
        <f t="shared" ref="V50:X50" si="127">$D$50*V6</f>
        <v>0</v>
      </c>
      <c r="W50" s="99">
        <f t="shared" si="127"/>
        <v>0</v>
      </c>
      <c r="X50" s="99">
        <f t="shared" si="127"/>
        <v>0</v>
      </c>
      <c r="Y50" s="204">
        <f>SUM(U50:X50)</f>
        <v>0</v>
      </c>
      <c r="Z50" s="99">
        <f>$D$50*Z6</f>
        <v>0</v>
      </c>
      <c r="AA50" s="99">
        <f t="shared" ref="AA50:AC50" si="128">$D$50*AA6</f>
        <v>0</v>
      </c>
      <c r="AB50" s="99">
        <f t="shared" si="128"/>
        <v>0</v>
      </c>
      <c r="AC50" s="99">
        <f t="shared" si="128"/>
        <v>0</v>
      </c>
      <c r="AD50" s="204">
        <f>SUM(Z50:AC50)</f>
        <v>0</v>
      </c>
      <c r="AE50" s="99">
        <f>$D$50*AE6</f>
        <v>0</v>
      </c>
      <c r="AF50" s="99">
        <f t="shared" ref="AF50:AH50" si="129">$D$50*AF6</f>
        <v>0</v>
      </c>
      <c r="AG50" s="99">
        <f t="shared" si="129"/>
        <v>0</v>
      </c>
      <c r="AH50" s="99">
        <f t="shared" si="129"/>
        <v>0</v>
      </c>
      <c r="AI50" s="204">
        <f>SUM(AE50:AH50)</f>
        <v>0</v>
      </c>
      <c r="AJ50" s="99">
        <f>$D$50*AJ6</f>
        <v>0</v>
      </c>
      <c r="AK50" s="99">
        <f t="shared" ref="AK50:AM50" si="130">$D$50*AK6</f>
        <v>0</v>
      </c>
      <c r="AL50" s="99">
        <f t="shared" si="130"/>
        <v>0</v>
      </c>
      <c r="AM50" s="99">
        <f t="shared" si="130"/>
        <v>0</v>
      </c>
      <c r="AN50" s="204">
        <f>SUM(AJ50:AM50)</f>
        <v>0</v>
      </c>
      <c r="AO50" s="104"/>
      <c r="AP50" s="104"/>
      <c r="AQ50" s="104"/>
      <c r="AR50" s="104"/>
      <c r="AS50" s="105"/>
      <c r="AT50" s="104"/>
      <c r="AU50" s="104"/>
      <c r="AV50" s="104"/>
      <c r="AW50" s="104"/>
      <c r="AX50" s="105"/>
      <c r="AY50" s="104"/>
      <c r="AZ50" s="104"/>
      <c r="BA50" s="104"/>
      <c r="BB50" s="104"/>
      <c r="BC50" s="105"/>
      <c r="BD50" s="104"/>
      <c r="BE50" s="104"/>
      <c r="BF50" s="104"/>
      <c r="BG50" s="104"/>
      <c r="BH50" s="105"/>
      <c r="BI50" s="104"/>
      <c r="BJ50" s="104"/>
      <c r="BK50" s="104"/>
      <c r="BL50" s="104"/>
      <c r="BM50" s="105"/>
      <c r="BN50" s="104"/>
      <c r="BO50" s="104"/>
      <c r="BP50" s="104"/>
      <c r="BQ50" s="104"/>
      <c r="BR50" s="105"/>
      <c r="BS50" s="104"/>
      <c r="BT50" s="104"/>
      <c r="BU50" s="104"/>
    </row>
    <row r="51" spans="1:73" s="99" customFormat="1" outlineLevel="1">
      <c r="A51" s="94"/>
      <c r="B51" s="93"/>
      <c r="C51" s="100" t="s">
        <v>207</v>
      </c>
      <c r="D51" s="315">
        <v>3102</v>
      </c>
      <c r="E51" s="228"/>
      <c r="F51" s="99">
        <f>$D$51*F6</f>
        <v>49942.200000000004</v>
      </c>
      <c r="G51" s="99">
        <f>$D$51*G6</f>
        <v>199768.80000000002</v>
      </c>
      <c r="H51" s="99">
        <f>$D$51*H6</f>
        <v>99884.399999999965</v>
      </c>
      <c r="I51" s="99">
        <f>$D$51*I6</f>
        <v>49942.20000000007</v>
      </c>
      <c r="J51" s="204">
        <f>SUM(F51:I51)</f>
        <v>399537.60000000009</v>
      </c>
      <c r="K51" s="99">
        <f>$D$51*K6</f>
        <v>0</v>
      </c>
      <c r="L51" s="99">
        <f>$D$51*L6</f>
        <v>0</v>
      </c>
      <c r="M51" s="99">
        <f>$D$51*M6</f>
        <v>0</v>
      </c>
      <c r="N51" s="99">
        <f>$D$51*N6</f>
        <v>0</v>
      </c>
      <c r="O51" s="204">
        <f>SUM(K51:N51)</f>
        <v>0</v>
      </c>
      <c r="P51" s="99">
        <f>$D$51*P6</f>
        <v>0</v>
      </c>
      <c r="Q51" s="99">
        <f>$D$51*Q6</f>
        <v>0</v>
      </c>
      <c r="R51" s="99">
        <f>$D$51*R6</f>
        <v>0</v>
      </c>
      <c r="S51" s="99">
        <f>$D$51*S6</f>
        <v>0</v>
      </c>
      <c r="T51" s="204">
        <f>SUM(P51:S51)</f>
        <v>0</v>
      </c>
      <c r="U51" s="99">
        <f>$D$51*U6</f>
        <v>0</v>
      </c>
      <c r="V51" s="99">
        <f>$D$51*V6</f>
        <v>0</v>
      </c>
      <c r="W51" s="99">
        <f>$D$51*W6</f>
        <v>0</v>
      </c>
      <c r="X51" s="99">
        <f>$D$51*X6</f>
        <v>0</v>
      </c>
      <c r="Y51" s="204">
        <f>SUM(U51:X51)</f>
        <v>0</v>
      </c>
      <c r="Z51" s="99">
        <f>$D$51*Z6</f>
        <v>0</v>
      </c>
      <c r="AA51" s="99">
        <f>$D$51*AA6</f>
        <v>0</v>
      </c>
      <c r="AB51" s="99">
        <f>$D$51*AB6</f>
        <v>0</v>
      </c>
      <c r="AC51" s="99">
        <f>$D$51*AC6</f>
        <v>0</v>
      </c>
      <c r="AD51" s="204">
        <f>SUM(Z51:AC51)</f>
        <v>0</v>
      </c>
      <c r="AE51" s="99">
        <f>$D$51*AE6</f>
        <v>0</v>
      </c>
      <c r="AF51" s="99">
        <f>$D$51*AF6</f>
        <v>0</v>
      </c>
      <c r="AG51" s="99">
        <f>$D$51*AG6</f>
        <v>0</v>
      </c>
      <c r="AH51" s="99">
        <f>$D$51*AH6</f>
        <v>0</v>
      </c>
      <c r="AI51" s="204">
        <f>SUM(AE51:AH51)</f>
        <v>0</v>
      </c>
      <c r="AJ51" s="99">
        <f>$D$51*AJ6</f>
        <v>0</v>
      </c>
      <c r="AK51" s="99">
        <f>$D$51*AK6</f>
        <v>0</v>
      </c>
      <c r="AL51" s="99">
        <f>$D$51*AL6</f>
        <v>0</v>
      </c>
      <c r="AM51" s="99">
        <f>$D$51*AM6</f>
        <v>0</v>
      </c>
      <c r="AN51" s="204">
        <f>SUM(AJ51:AM51)</f>
        <v>0</v>
      </c>
      <c r="AO51" s="104"/>
      <c r="AP51" s="104"/>
      <c r="AQ51" s="104"/>
      <c r="AR51" s="104"/>
      <c r="AS51" s="105"/>
      <c r="AT51" s="104"/>
      <c r="AU51" s="104"/>
      <c r="AV51" s="104"/>
      <c r="AW51" s="104"/>
      <c r="AX51" s="105"/>
      <c r="AY51" s="104"/>
      <c r="AZ51" s="104"/>
      <c r="BA51" s="104"/>
      <c r="BB51" s="104"/>
      <c r="BC51" s="105"/>
      <c r="BD51" s="104"/>
      <c r="BE51" s="104"/>
      <c r="BF51" s="104"/>
      <c r="BG51" s="104"/>
      <c r="BH51" s="105"/>
      <c r="BI51" s="104"/>
      <c r="BJ51" s="104"/>
      <c r="BK51" s="104"/>
      <c r="BL51" s="104"/>
      <c r="BM51" s="105"/>
      <c r="BN51" s="104"/>
      <c r="BO51" s="104"/>
      <c r="BP51" s="104"/>
      <c r="BQ51" s="104"/>
      <c r="BR51" s="105"/>
      <c r="BS51" s="104"/>
      <c r="BT51" s="104"/>
      <c r="BU51" s="104"/>
    </row>
    <row r="52" spans="1:73" s="99" customFormat="1" outlineLevel="1">
      <c r="A52" s="94"/>
      <c r="B52" s="93"/>
      <c r="C52" s="100" t="s">
        <v>205</v>
      </c>
      <c r="D52" s="315">
        <v>2100</v>
      </c>
      <c r="E52" s="229"/>
      <c r="F52" s="104">
        <f>F18*$D$52</f>
        <v>10143</v>
      </c>
      <c r="G52" s="104">
        <f>G18*$D$52</f>
        <v>40572</v>
      </c>
      <c r="H52" s="104">
        <f>H18*$D$52</f>
        <v>20286.000000000007</v>
      </c>
      <c r="I52" s="104">
        <f>I18*$D$52</f>
        <v>10142.999999999996</v>
      </c>
      <c r="J52" s="204">
        <f>SUM(F52:I52)</f>
        <v>81144</v>
      </c>
      <c r="K52" s="104">
        <f>K18*$D$52</f>
        <v>0</v>
      </c>
      <c r="L52" s="104">
        <f>L18*$D$52</f>
        <v>0</v>
      </c>
      <c r="M52" s="104">
        <f>M18*$D$52</f>
        <v>0</v>
      </c>
      <c r="N52" s="104">
        <f>N18*$D$52</f>
        <v>0</v>
      </c>
      <c r="O52" s="204">
        <f>SUM(K52:N52)</f>
        <v>0</v>
      </c>
      <c r="P52" s="104">
        <f>P18*$D$52</f>
        <v>3380.9999999999986</v>
      </c>
      <c r="Q52" s="104">
        <f>Q18*$D$52</f>
        <v>0</v>
      </c>
      <c r="R52" s="104">
        <f>R18*$D$52</f>
        <v>0</v>
      </c>
      <c r="S52" s="104">
        <f>S18*$D$52</f>
        <v>0</v>
      </c>
      <c r="T52" s="204">
        <f>SUM(P52:S52)</f>
        <v>3380.9999999999986</v>
      </c>
      <c r="U52" s="104">
        <f>U18*$D$52</f>
        <v>3380.9999999999986</v>
      </c>
      <c r="V52" s="104">
        <f>V18*$D$52</f>
        <v>0</v>
      </c>
      <c r="W52" s="104">
        <f>W18*$D$52</f>
        <v>0</v>
      </c>
      <c r="X52" s="104">
        <f>X18*$D$52</f>
        <v>0</v>
      </c>
      <c r="Y52" s="204">
        <f>SUM(U52:X52)</f>
        <v>3380.9999999999986</v>
      </c>
      <c r="Z52" s="104">
        <f>Z18*$D$52</f>
        <v>3381.0000000000136</v>
      </c>
      <c r="AA52" s="104">
        <f>AA18*$D$52</f>
        <v>0</v>
      </c>
      <c r="AB52" s="104">
        <f>AB18*$D$52</f>
        <v>0</v>
      </c>
      <c r="AC52" s="104">
        <f>AC18*$D$52</f>
        <v>0</v>
      </c>
      <c r="AD52" s="204">
        <f>SUM(Z52:AC52)</f>
        <v>3381.0000000000136</v>
      </c>
      <c r="AE52" s="104">
        <f>AE18*$D$52</f>
        <v>3380.9999999999986</v>
      </c>
      <c r="AF52" s="104">
        <f>AF18*$D$52</f>
        <v>0</v>
      </c>
      <c r="AG52" s="104">
        <f>AG18*$D$52</f>
        <v>0</v>
      </c>
      <c r="AH52" s="104">
        <f>AH18*$D$52</f>
        <v>0</v>
      </c>
      <c r="AI52" s="204">
        <f>SUM(AE52:AH52)</f>
        <v>3380.9999999999986</v>
      </c>
      <c r="AJ52" s="104">
        <f>AJ18*$D$52</f>
        <v>3380.9999999999841</v>
      </c>
      <c r="AK52" s="104">
        <f>AK18*$D$52</f>
        <v>0</v>
      </c>
      <c r="AL52" s="104">
        <f>AL18*$D$52</f>
        <v>0</v>
      </c>
      <c r="AM52" s="104">
        <f>AM18*$D$52</f>
        <v>0</v>
      </c>
      <c r="AN52" s="204">
        <f>SUM(AJ52:AM52)</f>
        <v>3380.9999999999841</v>
      </c>
      <c r="AO52" s="104"/>
      <c r="AP52" s="104"/>
      <c r="AQ52" s="104"/>
      <c r="AR52" s="104"/>
      <c r="AS52" s="105"/>
      <c r="AT52" s="104"/>
      <c r="AU52" s="104"/>
      <c r="AV52" s="104"/>
      <c r="AW52" s="104"/>
      <c r="AX52" s="105"/>
      <c r="AY52" s="104"/>
      <c r="AZ52" s="104"/>
      <c r="BA52" s="104"/>
      <c r="BB52" s="104"/>
      <c r="BC52" s="105"/>
      <c r="BD52" s="104"/>
      <c r="BE52" s="104"/>
      <c r="BF52" s="104"/>
      <c r="BG52" s="104"/>
      <c r="BH52" s="105"/>
      <c r="BI52" s="104"/>
      <c r="BJ52" s="104"/>
      <c r="BK52" s="104"/>
      <c r="BL52" s="104"/>
      <c r="BM52" s="105"/>
      <c r="BN52" s="104"/>
      <c r="BO52" s="104"/>
      <c r="BP52" s="104"/>
      <c r="BQ52" s="104"/>
      <c r="BR52" s="105"/>
      <c r="BS52" s="104"/>
      <c r="BT52" s="104"/>
      <c r="BU52" s="104"/>
    </row>
    <row r="53" spans="1:73" s="99" customFormat="1" outlineLevel="1">
      <c r="A53" s="94"/>
      <c r="B53" s="93"/>
      <c r="C53" s="100" t="s">
        <v>204</v>
      </c>
      <c r="D53" s="340">
        <v>1500</v>
      </c>
      <c r="E53" s="229"/>
      <c r="F53" s="104">
        <f>F30*$D$53</f>
        <v>0</v>
      </c>
      <c r="G53" s="104">
        <f t="shared" ref="G53:I53" si="131">G30*$D$53</f>
        <v>0</v>
      </c>
      <c r="H53" s="104">
        <f t="shared" si="131"/>
        <v>0</v>
      </c>
      <c r="I53" s="104">
        <f t="shared" si="131"/>
        <v>0</v>
      </c>
      <c r="J53" s="204">
        <f>SUM(F53:I53)</f>
        <v>0</v>
      </c>
      <c r="K53" s="104">
        <f>K30*$D$53</f>
        <v>0</v>
      </c>
      <c r="L53" s="104">
        <f t="shared" ref="L53:N53" si="132">L30*$D$53</f>
        <v>0</v>
      </c>
      <c r="M53" s="104">
        <f t="shared" si="132"/>
        <v>0</v>
      </c>
      <c r="N53" s="104">
        <f t="shared" si="132"/>
        <v>0</v>
      </c>
      <c r="O53" s="204">
        <f>SUM(K53:N53)</f>
        <v>0</v>
      </c>
      <c r="P53" s="104">
        <f>P30*$D$53</f>
        <v>0</v>
      </c>
      <c r="Q53" s="104">
        <f t="shared" ref="Q53:S53" si="133">Q30*$D$53</f>
        <v>0</v>
      </c>
      <c r="R53" s="104">
        <f t="shared" si="133"/>
        <v>0</v>
      </c>
      <c r="S53" s="104">
        <f t="shared" si="133"/>
        <v>0</v>
      </c>
      <c r="T53" s="204">
        <f>SUM(P53:S53)</f>
        <v>0</v>
      </c>
      <c r="U53" s="104">
        <f>U30*$D$53</f>
        <v>0</v>
      </c>
      <c r="V53" s="104">
        <f t="shared" ref="V53:X53" si="134">V30*$D$53</f>
        <v>0</v>
      </c>
      <c r="W53" s="104">
        <f t="shared" si="134"/>
        <v>0</v>
      </c>
      <c r="X53" s="104">
        <f t="shared" si="134"/>
        <v>0</v>
      </c>
      <c r="Y53" s="204">
        <f>SUM(U53:X53)</f>
        <v>0</v>
      </c>
      <c r="Z53" s="104">
        <f>Z30*$D$53</f>
        <v>0</v>
      </c>
      <c r="AA53" s="104">
        <f t="shared" ref="AA53:AC53" si="135">AA30*$D$53</f>
        <v>0</v>
      </c>
      <c r="AB53" s="104">
        <f t="shared" si="135"/>
        <v>0</v>
      </c>
      <c r="AC53" s="104">
        <f t="shared" si="135"/>
        <v>0</v>
      </c>
      <c r="AD53" s="204">
        <f>SUM(Z53:AC53)</f>
        <v>0</v>
      </c>
      <c r="AE53" s="104">
        <f>AE30*$D$53</f>
        <v>0</v>
      </c>
      <c r="AF53" s="104">
        <f t="shared" ref="AF53:AH53" si="136">AF30*$D$53</f>
        <v>0</v>
      </c>
      <c r="AG53" s="104">
        <f t="shared" si="136"/>
        <v>0</v>
      </c>
      <c r="AH53" s="104">
        <f t="shared" si="136"/>
        <v>0</v>
      </c>
      <c r="AI53" s="204">
        <f>SUM(AE53:AH53)</f>
        <v>0</v>
      </c>
      <c r="AJ53" s="104">
        <f>AJ30*$D$53</f>
        <v>0</v>
      </c>
      <c r="AK53" s="104">
        <f t="shared" ref="AK53:AM53" si="137">AK30*$D$53</f>
        <v>0</v>
      </c>
      <c r="AL53" s="104">
        <f t="shared" si="137"/>
        <v>0</v>
      </c>
      <c r="AM53" s="104">
        <f t="shared" si="137"/>
        <v>0</v>
      </c>
      <c r="AN53" s="204">
        <f>SUM(AJ53:AM53)</f>
        <v>0</v>
      </c>
      <c r="AO53" s="104"/>
      <c r="AP53" s="104"/>
      <c r="AQ53" s="104"/>
      <c r="AR53" s="104"/>
      <c r="AS53" s="105"/>
      <c r="AT53" s="104"/>
      <c r="AU53" s="104"/>
      <c r="AV53" s="104"/>
      <c r="AW53" s="104"/>
      <c r="AX53" s="105"/>
      <c r="AY53" s="104"/>
      <c r="AZ53" s="104"/>
      <c r="BA53" s="104"/>
      <c r="BB53" s="104"/>
      <c r="BC53" s="105"/>
      <c r="BD53" s="104"/>
      <c r="BE53" s="104"/>
      <c r="BF53" s="104"/>
      <c r="BG53" s="104"/>
      <c r="BH53" s="105"/>
      <c r="BI53" s="104"/>
      <c r="BJ53" s="104"/>
      <c r="BK53" s="104"/>
      <c r="BL53" s="104"/>
      <c r="BM53" s="105"/>
      <c r="BN53" s="104"/>
      <c r="BO53" s="104"/>
      <c r="BP53" s="104"/>
      <c r="BQ53" s="104"/>
      <c r="BR53" s="105"/>
      <c r="BS53" s="104"/>
      <c r="BT53" s="104"/>
      <c r="BU53" s="104"/>
    </row>
    <row r="54" spans="1:73" s="99" customFormat="1" outlineLevel="1">
      <c r="A54" s="94"/>
      <c r="B54" s="93"/>
      <c r="C54" s="100" t="s">
        <v>86</v>
      </c>
      <c r="D54" s="341">
        <v>0.3</v>
      </c>
      <c r="E54" s="165"/>
      <c r="F54" s="104">
        <f>F21*$D$54</f>
        <v>4057.2</v>
      </c>
      <c r="G54" s="104">
        <f>G21*$D$54</f>
        <v>17098.2</v>
      </c>
      <c r="H54" s="104">
        <f>H21*$D$54</f>
        <v>12461.400000000003</v>
      </c>
      <c r="I54" s="104">
        <f>I21*$D$54</f>
        <v>10143</v>
      </c>
      <c r="J54" s="204">
        <f>SUM(F54:I54)</f>
        <v>43759.8</v>
      </c>
      <c r="K54" s="104">
        <f>K21*$D$54</f>
        <v>7059.5280000000002</v>
      </c>
      <c r="L54" s="104">
        <f>L21*$D$54</f>
        <v>7059.5280000000002</v>
      </c>
      <c r="M54" s="104">
        <f>M21*$D$54</f>
        <v>7059.5280000000002</v>
      </c>
      <c r="N54" s="104">
        <f>N21*$D$54</f>
        <v>7059.5280000000002</v>
      </c>
      <c r="O54" s="204">
        <f>SUM(K54:N54)</f>
        <v>28238.112000000001</v>
      </c>
      <c r="P54" s="104">
        <f>P21*$D$54</f>
        <v>9159.6119999999992</v>
      </c>
      <c r="Q54" s="104">
        <f>Q21*$D$54</f>
        <v>8114.4</v>
      </c>
      <c r="R54" s="104">
        <f>R21*$D$54</f>
        <v>8114.4</v>
      </c>
      <c r="S54" s="104">
        <f>S21*$D$54</f>
        <v>8114.4</v>
      </c>
      <c r="T54" s="204">
        <f>SUM(P54:S54)</f>
        <v>33502.811999999998</v>
      </c>
      <c r="U54" s="104">
        <f>U21*$D$54</f>
        <v>9484.1880000000001</v>
      </c>
      <c r="V54" s="104">
        <f>V21*$D$54</f>
        <v>8438.9759999999987</v>
      </c>
      <c r="W54" s="104">
        <f>W21*$D$54</f>
        <v>8438.9759999999987</v>
      </c>
      <c r="X54" s="104">
        <f>X21*$D$54</f>
        <v>8438.9759999999987</v>
      </c>
      <c r="Y54" s="204">
        <f>SUM(U54:X54)</f>
        <v>34801.115999999995</v>
      </c>
      <c r="Z54" s="104">
        <f>Z21*$D$54</f>
        <v>10653.531000000004</v>
      </c>
      <c r="AA54" s="104">
        <f>AA21*$D$54</f>
        <v>9624.2580000000016</v>
      </c>
      <c r="AB54" s="104">
        <f>AB21*$D$54</f>
        <v>9624.2580000000016</v>
      </c>
      <c r="AC54" s="104">
        <f>AC21*$D$54</f>
        <v>9624.2580000000016</v>
      </c>
      <c r="AD54" s="204">
        <f>SUM(Z54:AC54)</f>
        <v>39526.305000000008</v>
      </c>
      <c r="AE54" s="104">
        <f>AE21*$D$54</f>
        <v>11009.985000000001</v>
      </c>
      <c r="AF54" s="104">
        <f>AF21*$D$54</f>
        <v>9980.7119999999995</v>
      </c>
      <c r="AG54" s="104">
        <f>AG21*$D$54</f>
        <v>9980.7119999999995</v>
      </c>
      <c r="AH54" s="104">
        <f>AH21*$D$54</f>
        <v>9980.7119999999995</v>
      </c>
      <c r="AI54" s="204">
        <f>SUM(AE54:AH54)</f>
        <v>40952.120999999999</v>
      </c>
      <c r="AJ54" s="104">
        <f>AJ21*$D$54</f>
        <v>12398.851499999995</v>
      </c>
      <c r="AK54" s="104">
        <f>AK21*$D$54</f>
        <v>11387.691000000001</v>
      </c>
      <c r="AL54" s="104">
        <f>AL21*$D$54</f>
        <v>11387.691000000001</v>
      </c>
      <c r="AM54" s="104">
        <f>AM21*$D$54</f>
        <v>11387.691000000001</v>
      </c>
      <c r="AN54" s="204">
        <f>SUM(AJ54:AM54)</f>
        <v>46561.924499999994</v>
      </c>
      <c r="AO54" s="104"/>
      <c r="AP54" s="104"/>
      <c r="AQ54" s="104"/>
      <c r="AR54" s="104"/>
      <c r="AS54" s="105"/>
      <c r="AT54" s="104"/>
      <c r="AU54" s="104"/>
      <c r="AV54" s="104"/>
      <c r="AW54" s="104"/>
      <c r="AX54" s="105"/>
      <c r="AY54" s="104"/>
      <c r="AZ54" s="104"/>
      <c r="BA54" s="104"/>
      <c r="BB54" s="104"/>
      <c r="BC54" s="105"/>
      <c r="BD54" s="104"/>
      <c r="BE54" s="104"/>
      <c r="BF54" s="104"/>
      <c r="BG54" s="104"/>
      <c r="BH54" s="105"/>
      <c r="BI54" s="104"/>
      <c r="BJ54" s="104"/>
      <c r="BK54" s="104"/>
      <c r="BL54" s="104"/>
      <c r="BM54" s="105"/>
      <c r="BN54" s="104"/>
      <c r="BO54" s="104"/>
      <c r="BP54" s="104"/>
      <c r="BQ54" s="104"/>
      <c r="BR54" s="105"/>
      <c r="BS54" s="104"/>
      <c r="BT54" s="104"/>
      <c r="BU54" s="104"/>
    </row>
    <row r="55" spans="1:73" s="99" customFormat="1" outlineLevel="1">
      <c r="A55" s="94"/>
      <c r="B55" s="93"/>
      <c r="C55" s="100" t="s">
        <v>87</v>
      </c>
      <c r="D55" s="227"/>
      <c r="E55" s="163"/>
      <c r="F55" s="108"/>
      <c r="J55" s="154"/>
      <c r="O55" s="154"/>
      <c r="T55" s="154"/>
      <c r="Y55" s="154"/>
      <c r="AD55" s="217"/>
      <c r="AI55" s="217"/>
      <c r="AN55" s="217"/>
    </row>
    <row r="56" spans="1:73" s="99" customFormat="1" outlineLevel="1">
      <c r="A56" s="94"/>
      <c r="B56" s="93"/>
      <c r="C56" s="100" t="s">
        <v>88</v>
      </c>
      <c r="D56" s="106"/>
      <c r="E56" s="163"/>
      <c r="F56" s="99">
        <v>0</v>
      </c>
      <c r="G56" s="99">
        <v>0</v>
      </c>
      <c r="H56" s="99">
        <v>0</v>
      </c>
      <c r="I56" s="99">
        <v>0</v>
      </c>
      <c r="J56" s="204">
        <f>SUM(F56:I56)</f>
        <v>0</v>
      </c>
      <c r="K56" s="99">
        <v>0</v>
      </c>
      <c r="L56" s="99">
        <v>0</v>
      </c>
      <c r="M56" s="99">
        <v>0</v>
      </c>
      <c r="N56" s="99">
        <v>0</v>
      </c>
      <c r="O56" s="204">
        <f>SUM(K56:N56)</f>
        <v>0</v>
      </c>
      <c r="P56" s="99">
        <f t="shared" ref="P56:S58" si="138">K56*(1+$D$39)</f>
        <v>0</v>
      </c>
      <c r="Q56" s="99">
        <f t="shared" si="138"/>
        <v>0</v>
      </c>
      <c r="R56" s="99">
        <f t="shared" si="138"/>
        <v>0</v>
      </c>
      <c r="S56" s="99">
        <f t="shared" si="138"/>
        <v>0</v>
      </c>
      <c r="T56" s="204">
        <f>SUM(P56:S56)</f>
        <v>0</v>
      </c>
      <c r="U56" s="99">
        <f t="shared" ref="U56:X58" si="139">P56*(1+$D$39)</f>
        <v>0</v>
      </c>
      <c r="V56" s="99">
        <f t="shared" si="139"/>
        <v>0</v>
      </c>
      <c r="W56" s="99">
        <f t="shared" si="139"/>
        <v>0</v>
      </c>
      <c r="X56" s="99">
        <f t="shared" si="139"/>
        <v>0</v>
      </c>
      <c r="Y56" s="204">
        <f>SUM(U56:X56)</f>
        <v>0</v>
      </c>
      <c r="Z56" s="99">
        <f t="shared" ref="Z56:AC58" si="140">U56*(1+$D$39)</f>
        <v>0</v>
      </c>
      <c r="AA56" s="99">
        <f t="shared" si="140"/>
        <v>0</v>
      </c>
      <c r="AB56" s="99">
        <f t="shared" si="140"/>
        <v>0</v>
      </c>
      <c r="AC56" s="99">
        <f t="shared" si="140"/>
        <v>0</v>
      </c>
      <c r="AD56" s="204">
        <f>SUM(Z56:AC56)</f>
        <v>0</v>
      </c>
      <c r="AE56" s="99">
        <f t="shared" ref="AE56:AH58" si="141">Z56*(1+$D$39)</f>
        <v>0</v>
      </c>
      <c r="AF56" s="99">
        <f t="shared" si="141"/>
        <v>0</v>
      </c>
      <c r="AG56" s="99">
        <f t="shared" si="141"/>
        <v>0</v>
      </c>
      <c r="AH56" s="99">
        <f t="shared" si="141"/>
        <v>0</v>
      </c>
      <c r="AI56" s="204">
        <f>SUM(AE56:AH56)</f>
        <v>0</v>
      </c>
      <c r="AJ56" s="99">
        <f t="shared" ref="AJ56:AM58" si="142">AE56*(1+$D$39)</f>
        <v>0</v>
      </c>
      <c r="AK56" s="99">
        <f t="shared" si="142"/>
        <v>0</v>
      </c>
      <c r="AL56" s="99">
        <f t="shared" si="142"/>
        <v>0</v>
      </c>
      <c r="AM56" s="99">
        <f t="shared" si="142"/>
        <v>0</v>
      </c>
      <c r="AN56" s="204">
        <f>SUM(AJ56:AM56)</f>
        <v>0</v>
      </c>
      <c r="AS56" s="105"/>
      <c r="AX56" s="105"/>
      <c r="BC56" s="105"/>
      <c r="BH56" s="105"/>
      <c r="BM56" s="105"/>
      <c r="BR56" s="105"/>
    </row>
    <row r="57" spans="1:73" s="99" customFormat="1" outlineLevel="1">
      <c r="A57" s="94"/>
      <c r="B57" s="93"/>
      <c r="C57" s="100" t="s">
        <v>89</v>
      </c>
      <c r="D57" s="106"/>
      <c r="E57" s="163"/>
      <c r="F57" s="99">
        <v>0</v>
      </c>
      <c r="G57" s="99">
        <v>0</v>
      </c>
      <c r="H57" s="99">
        <v>0</v>
      </c>
      <c r="I57" s="99">
        <v>0</v>
      </c>
      <c r="J57" s="204">
        <f>SUM(F57:I57)</f>
        <v>0</v>
      </c>
      <c r="K57" s="99">
        <v>0</v>
      </c>
      <c r="L57" s="99">
        <v>0</v>
      </c>
      <c r="M57" s="99">
        <v>0</v>
      </c>
      <c r="N57" s="99">
        <v>0</v>
      </c>
      <c r="O57" s="204">
        <f>SUM(K57:N57)</f>
        <v>0</v>
      </c>
      <c r="P57" s="99">
        <f t="shared" si="138"/>
        <v>0</v>
      </c>
      <c r="Q57" s="99">
        <f t="shared" si="138"/>
        <v>0</v>
      </c>
      <c r="R57" s="99">
        <f t="shared" si="138"/>
        <v>0</v>
      </c>
      <c r="S57" s="99">
        <f t="shared" si="138"/>
        <v>0</v>
      </c>
      <c r="T57" s="204">
        <f>SUM(P57:S57)</f>
        <v>0</v>
      </c>
      <c r="U57" s="99">
        <f t="shared" si="139"/>
        <v>0</v>
      </c>
      <c r="V57" s="99">
        <f t="shared" si="139"/>
        <v>0</v>
      </c>
      <c r="W57" s="99">
        <f t="shared" si="139"/>
        <v>0</v>
      </c>
      <c r="X57" s="99">
        <f t="shared" si="139"/>
        <v>0</v>
      </c>
      <c r="Y57" s="204">
        <f>SUM(U57:X57)</f>
        <v>0</v>
      </c>
      <c r="Z57" s="99">
        <f t="shared" si="140"/>
        <v>0</v>
      </c>
      <c r="AA57" s="99">
        <f t="shared" si="140"/>
        <v>0</v>
      </c>
      <c r="AB57" s="99">
        <f t="shared" si="140"/>
        <v>0</v>
      </c>
      <c r="AC57" s="99">
        <f t="shared" si="140"/>
        <v>0</v>
      </c>
      <c r="AD57" s="204">
        <f>SUM(Z57:AC57)</f>
        <v>0</v>
      </c>
      <c r="AE57" s="99">
        <f t="shared" si="141"/>
        <v>0</v>
      </c>
      <c r="AF57" s="99">
        <f t="shared" si="141"/>
        <v>0</v>
      </c>
      <c r="AG57" s="99">
        <f t="shared" si="141"/>
        <v>0</v>
      </c>
      <c r="AH57" s="99">
        <f t="shared" si="141"/>
        <v>0</v>
      </c>
      <c r="AI57" s="204">
        <f>SUM(AE57:AH57)</f>
        <v>0</v>
      </c>
      <c r="AJ57" s="99">
        <f t="shared" si="142"/>
        <v>0</v>
      </c>
      <c r="AK57" s="99">
        <f t="shared" si="142"/>
        <v>0</v>
      </c>
      <c r="AL57" s="99">
        <f t="shared" si="142"/>
        <v>0</v>
      </c>
      <c r="AM57" s="99">
        <f t="shared" si="142"/>
        <v>0</v>
      </c>
      <c r="AN57" s="204">
        <f>SUM(AJ57:AM57)</f>
        <v>0</v>
      </c>
      <c r="AS57" s="105"/>
      <c r="AX57" s="105"/>
      <c r="BC57" s="105"/>
      <c r="BH57" s="105"/>
      <c r="BM57" s="105"/>
      <c r="BR57" s="105"/>
    </row>
    <row r="58" spans="1:73" s="99" customFormat="1" outlineLevel="1">
      <c r="A58" s="94"/>
      <c r="B58" s="93"/>
      <c r="C58" s="100" t="s">
        <v>90</v>
      </c>
      <c r="D58" s="106"/>
      <c r="E58" s="163"/>
      <c r="F58" s="99">
        <v>30000</v>
      </c>
      <c r="G58" s="99">
        <v>30000</v>
      </c>
      <c r="H58" s="99">
        <v>30000</v>
      </c>
      <c r="I58" s="99">
        <v>30000</v>
      </c>
      <c r="J58" s="204">
        <f>SUM(F58:I58)</f>
        <v>120000</v>
      </c>
      <c r="K58" s="99">
        <v>30000</v>
      </c>
      <c r="L58" s="99">
        <v>30000</v>
      </c>
      <c r="M58" s="99">
        <v>30000</v>
      </c>
      <c r="N58" s="99">
        <v>30000</v>
      </c>
      <c r="O58" s="204">
        <f>SUM(K58:N58)</f>
        <v>120000</v>
      </c>
      <c r="P58" s="99">
        <f t="shared" si="138"/>
        <v>33000</v>
      </c>
      <c r="Q58" s="99">
        <f t="shared" si="138"/>
        <v>33000</v>
      </c>
      <c r="R58" s="99">
        <f t="shared" si="138"/>
        <v>33000</v>
      </c>
      <c r="S58" s="99">
        <f t="shared" si="138"/>
        <v>33000</v>
      </c>
      <c r="T58" s="204">
        <f>SUM(P58:S58)</f>
        <v>132000</v>
      </c>
      <c r="U58" s="99">
        <f t="shared" si="139"/>
        <v>36300</v>
      </c>
      <c r="V58" s="99">
        <f t="shared" si="139"/>
        <v>36300</v>
      </c>
      <c r="W58" s="99">
        <f t="shared" si="139"/>
        <v>36300</v>
      </c>
      <c r="X58" s="99">
        <f t="shared" si="139"/>
        <v>36300</v>
      </c>
      <c r="Y58" s="204">
        <f>SUM(U58:X58)</f>
        <v>145200</v>
      </c>
      <c r="Z58" s="99">
        <f t="shared" si="140"/>
        <v>39930</v>
      </c>
      <c r="AA58" s="99">
        <f t="shared" si="140"/>
        <v>39930</v>
      </c>
      <c r="AB58" s="99">
        <f t="shared" si="140"/>
        <v>39930</v>
      </c>
      <c r="AC58" s="99">
        <f t="shared" si="140"/>
        <v>39930</v>
      </c>
      <c r="AD58" s="204">
        <f>SUM(Z58:AC58)</f>
        <v>159720</v>
      </c>
      <c r="AE58" s="99">
        <f t="shared" si="141"/>
        <v>43923</v>
      </c>
      <c r="AF58" s="99">
        <f t="shared" si="141"/>
        <v>43923</v>
      </c>
      <c r="AG58" s="99">
        <f t="shared" si="141"/>
        <v>43923</v>
      </c>
      <c r="AH58" s="99">
        <f t="shared" si="141"/>
        <v>43923</v>
      </c>
      <c r="AI58" s="204">
        <f>SUM(AE58:AH58)</f>
        <v>175692</v>
      </c>
      <c r="AJ58" s="99">
        <f t="shared" si="142"/>
        <v>48315.3</v>
      </c>
      <c r="AK58" s="99">
        <f t="shared" si="142"/>
        <v>48315.3</v>
      </c>
      <c r="AL58" s="99">
        <f t="shared" si="142"/>
        <v>48315.3</v>
      </c>
      <c r="AM58" s="99">
        <f t="shared" si="142"/>
        <v>48315.3</v>
      </c>
      <c r="AN58" s="204">
        <f>SUM(AJ58:AM58)</f>
        <v>193261.2</v>
      </c>
      <c r="AS58" s="105"/>
      <c r="AX58" s="105"/>
      <c r="BC58" s="105"/>
      <c r="BH58" s="105"/>
      <c r="BM58" s="105"/>
      <c r="BR58" s="105"/>
    </row>
    <row r="59" spans="1:73" s="99" customFormat="1" ht="15" outlineLevel="1" thickBot="1">
      <c r="A59" s="94"/>
      <c r="B59" s="93"/>
      <c r="C59" s="94"/>
      <c r="D59" s="106"/>
      <c r="E59" s="163"/>
      <c r="J59" s="154"/>
      <c r="O59" s="154"/>
      <c r="T59" s="154"/>
      <c r="Y59" s="154"/>
      <c r="AD59" s="217"/>
      <c r="AI59" s="217"/>
      <c r="AN59" s="217"/>
    </row>
    <row r="60" spans="1:73" s="225" customFormat="1" ht="15" thickBot="1">
      <c r="A60" s="232"/>
      <c r="B60" s="232"/>
      <c r="C60" s="233" t="s">
        <v>91</v>
      </c>
      <c r="D60" s="234"/>
      <c r="E60" s="234"/>
      <c r="F60" s="234">
        <f t="shared" ref="F60:AN60" si="143">SUM(F46:F59)</f>
        <v>142663.84368749999</v>
      </c>
      <c r="G60" s="234">
        <f t="shared" si="143"/>
        <v>412902.34368750005</v>
      </c>
      <c r="H60" s="234">
        <f t="shared" si="143"/>
        <v>236800.54368749994</v>
      </c>
      <c r="I60" s="234">
        <f t="shared" si="143"/>
        <v>148749.64368750009</v>
      </c>
      <c r="J60" s="239">
        <f t="shared" si="143"/>
        <v>941116.37475000019</v>
      </c>
      <c r="K60" s="234">
        <f t="shared" si="143"/>
        <v>59933.671687499998</v>
      </c>
      <c r="L60" s="234">
        <f t="shared" si="143"/>
        <v>59933.671687499998</v>
      </c>
      <c r="M60" s="234">
        <f t="shared" si="143"/>
        <v>59933.671687499998</v>
      </c>
      <c r="N60" s="234">
        <f t="shared" si="143"/>
        <v>59933.671687499998</v>
      </c>
      <c r="O60" s="239">
        <f t="shared" si="143"/>
        <v>239734.68674999999</v>
      </c>
      <c r="P60" s="234">
        <f t="shared" si="143"/>
        <v>68414.755687500001</v>
      </c>
      <c r="Q60" s="234">
        <f t="shared" si="143"/>
        <v>63988.543687500001</v>
      </c>
      <c r="R60" s="234">
        <f t="shared" si="143"/>
        <v>63988.543687500001</v>
      </c>
      <c r="S60" s="234">
        <f t="shared" si="143"/>
        <v>63988.543687500001</v>
      </c>
      <c r="T60" s="239">
        <f t="shared" si="143"/>
        <v>260380.38675000001</v>
      </c>
      <c r="U60" s="234">
        <f t="shared" si="143"/>
        <v>72039.331687500002</v>
      </c>
      <c r="V60" s="234">
        <f t="shared" si="143"/>
        <v>67613.119687500002</v>
      </c>
      <c r="W60" s="234">
        <f t="shared" si="143"/>
        <v>67613.119687500002</v>
      </c>
      <c r="X60" s="234">
        <f t="shared" si="143"/>
        <v>67613.119687500002</v>
      </c>
      <c r="Y60" s="239">
        <f t="shared" si="143"/>
        <v>274878.69075000001</v>
      </c>
      <c r="Z60" s="234">
        <f t="shared" si="143"/>
        <v>76838.674687500024</v>
      </c>
      <c r="AA60" s="234">
        <f t="shared" si="143"/>
        <v>72428.401687500009</v>
      </c>
      <c r="AB60" s="234">
        <f t="shared" si="143"/>
        <v>72428.401687500009</v>
      </c>
      <c r="AC60" s="234">
        <f t="shared" si="143"/>
        <v>72428.401687500009</v>
      </c>
      <c r="AD60" s="239">
        <f t="shared" si="143"/>
        <v>294123.87975000002</v>
      </c>
      <c r="AE60" s="234">
        <f t="shared" si="143"/>
        <v>81188.128687499993</v>
      </c>
      <c r="AF60" s="234">
        <f t="shared" si="143"/>
        <v>76777.855687500007</v>
      </c>
      <c r="AG60" s="234">
        <f t="shared" si="143"/>
        <v>76777.855687500007</v>
      </c>
      <c r="AH60" s="234">
        <f t="shared" si="143"/>
        <v>76777.855687500007</v>
      </c>
      <c r="AI60" s="239">
        <f t="shared" si="143"/>
        <v>311521.69575000001</v>
      </c>
      <c r="AJ60" s="234">
        <f t="shared" si="143"/>
        <v>86969.295187499985</v>
      </c>
      <c r="AK60" s="234">
        <f t="shared" si="143"/>
        <v>82577.134687500002</v>
      </c>
      <c r="AL60" s="234">
        <f t="shared" si="143"/>
        <v>82577.134687500002</v>
      </c>
      <c r="AM60" s="234">
        <f t="shared" si="143"/>
        <v>82577.134687500002</v>
      </c>
      <c r="AN60" s="243">
        <f t="shared" si="143"/>
        <v>334700.69925000001</v>
      </c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</row>
    <row r="61" spans="1:73" s="99" customFormat="1">
      <c r="A61" s="94"/>
      <c r="B61" s="93"/>
      <c r="C61" s="109" t="s">
        <v>92</v>
      </c>
      <c r="D61" s="106"/>
      <c r="E61" s="163"/>
      <c r="F61" s="99">
        <f t="shared" ref="F61:AN61" si="144">F41-F60</f>
        <v>-100964.84368749999</v>
      </c>
      <c r="G61" s="99">
        <f t="shared" si="144"/>
        <v>-219058.34368750005</v>
      </c>
      <c r="H61" s="99">
        <f t="shared" si="144"/>
        <v>-18162.543687499943</v>
      </c>
      <c r="I61" s="99">
        <f t="shared" si="144"/>
        <v>82285.356312499935</v>
      </c>
      <c r="J61" s="154">
        <f t="shared" si="144"/>
        <v>-255900.37475000019</v>
      </c>
      <c r="K61" s="99">
        <f t="shared" si="144"/>
        <v>156798.08831250004</v>
      </c>
      <c r="L61" s="99">
        <f t="shared" si="144"/>
        <v>156798.08831250004</v>
      </c>
      <c r="M61" s="99">
        <f t="shared" si="144"/>
        <v>156798.08831250004</v>
      </c>
      <c r="N61" s="99">
        <f t="shared" si="144"/>
        <v>156798.08831250004</v>
      </c>
      <c r="O61" s="154">
        <f t="shared" si="144"/>
        <v>627192.35325000016</v>
      </c>
      <c r="P61" s="110">
        <f t="shared" si="144"/>
        <v>152419.28431250004</v>
      </c>
      <c r="Q61" s="110">
        <f t="shared" si="144"/>
        <v>153361.45631250003</v>
      </c>
      <c r="R61" s="110">
        <f t="shared" si="144"/>
        <v>153361.45631250003</v>
      </c>
      <c r="S61" s="110">
        <f t="shared" si="144"/>
        <v>153361.45631250003</v>
      </c>
      <c r="T61" s="154">
        <f t="shared" si="144"/>
        <v>612503.65325000021</v>
      </c>
      <c r="U61" s="110">
        <f t="shared" si="144"/>
        <v>145119.0783125</v>
      </c>
      <c r="V61" s="110">
        <f t="shared" si="144"/>
        <v>146061.25031249999</v>
      </c>
      <c r="W61" s="110">
        <f t="shared" si="144"/>
        <v>146061.25031249999</v>
      </c>
      <c r="X61" s="110">
        <f t="shared" si="144"/>
        <v>146061.25031249999</v>
      </c>
      <c r="Y61" s="154">
        <f t="shared" si="144"/>
        <v>583302.82924999995</v>
      </c>
      <c r="Z61" s="110">
        <f t="shared" si="144"/>
        <v>136795.76731249999</v>
      </c>
      <c r="AA61" s="110">
        <f t="shared" si="144"/>
        <v>137775.1303125</v>
      </c>
      <c r="AB61" s="110">
        <f t="shared" si="144"/>
        <v>137775.1303125</v>
      </c>
      <c r="AC61" s="110">
        <f t="shared" si="144"/>
        <v>137775.1303125</v>
      </c>
      <c r="AD61" s="154">
        <f t="shared" si="144"/>
        <v>550121.15824999986</v>
      </c>
      <c r="AE61" s="110">
        <f t="shared" si="144"/>
        <v>124728.35971249998</v>
      </c>
      <c r="AF61" s="110">
        <f t="shared" si="144"/>
        <v>125707.72271249996</v>
      </c>
      <c r="AG61" s="110">
        <f t="shared" si="144"/>
        <v>125707.72271249996</v>
      </c>
      <c r="AH61" s="110">
        <f t="shared" si="144"/>
        <v>125707.72271249996</v>
      </c>
      <c r="AI61" s="154">
        <f t="shared" si="144"/>
        <v>501851.5278499999</v>
      </c>
      <c r="AJ61" s="110">
        <f t="shared" si="144"/>
        <v>113423.75590849997</v>
      </c>
      <c r="AK61" s="110">
        <f t="shared" si="144"/>
        <v>114445.38140849998</v>
      </c>
      <c r="AL61" s="110">
        <f t="shared" si="144"/>
        <v>114445.38140849998</v>
      </c>
      <c r="AM61" s="110">
        <f t="shared" si="144"/>
        <v>114445.38140849998</v>
      </c>
      <c r="AN61" s="154">
        <f t="shared" si="144"/>
        <v>456759.90013399982</v>
      </c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</row>
    <row r="62" spans="1:73" s="115" customFormat="1" ht="12">
      <c r="A62" s="111"/>
      <c r="B62" s="112"/>
      <c r="C62" s="113" t="s">
        <v>93</v>
      </c>
      <c r="D62" s="114"/>
      <c r="E62" s="166"/>
      <c r="F62" s="116">
        <f t="shared" ref="F62:AN62" si="145">F61/F41</f>
        <v>-2.4212773372862655</v>
      </c>
      <c r="G62" s="116">
        <f t="shared" si="145"/>
        <v>-1.1300754404959661</v>
      </c>
      <c r="H62" s="116">
        <f t="shared" si="145"/>
        <v>-8.3071303650325848E-2</v>
      </c>
      <c r="I62" s="116">
        <f t="shared" si="145"/>
        <v>0.35615970009955167</v>
      </c>
      <c r="J62" s="220">
        <f t="shared" si="145"/>
        <v>-0.37345942702739016</v>
      </c>
      <c r="K62" s="116">
        <f t="shared" si="145"/>
        <v>0.72346613303237151</v>
      </c>
      <c r="L62" s="116">
        <f t="shared" si="145"/>
        <v>0.72346613303237151</v>
      </c>
      <c r="M62" s="116">
        <f t="shared" si="145"/>
        <v>0.72346613303237151</v>
      </c>
      <c r="N62" s="116">
        <f t="shared" si="145"/>
        <v>0.72346613303237151</v>
      </c>
      <c r="O62" s="208">
        <f t="shared" si="145"/>
        <v>0.72346613303237151</v>
      </c>
      <c r="P62" s="116">
        <f t="shared" si="145"/>
        <v>0.69019832410121196</v>
      </c>
      <c r="Q62" s="116">
        <f t="shared" si="145"/>
        <v>0.70559676242236025</v>
      </c>
      <c r="R62" s="116">
        <f t="shared" si="145"/>
        <v>0.70559676242236025</v>
      </c>
      <c r="S62" s="116">
        <f t="shared" si="145"/>
        <v>0.70559676242236025</v>
      </c>
      <c r="T62" s="208">
        <f t="shared" si="145"/>
        <v>0.70170105670622651</v>
      </c>
      <c r="U62" s="116">
        <f t="shared" si="145"/>
        <v>0.66826368047408335</v>
      </c>
      <c r="V62" s="116">
        <f t="shared" si="145"/>
        <v>0.68356935046772338</v>
      </c>
      <c r="W62" s="116">
        <f t="shared" si="145"/>
        <v>0.68356935046772338</v>
      </c>
      <c r="X62" s="116">
        <f t="shared" si="145"/>
        <v>0.68356935046772338</v>
      </c>
      <c r="Y62" s="208">
        <f t="shared" si="145"/>
        <v>0.67969632957139414</v>
      </c>
      <c r="Z62" s="116">
        <f t="shared" si="145"/>
        <v>0.64032637261972947</v>
      </c>
      <c r="AA62" s="116">
        <f t="shared" si="145"/>
        <v>0.65543679976081459</v>
      </c>
      <c r="AB62" s="116">
        <f t="shared" si="145"/>
        <v>0.65543679976081459</v>
      </c>
      <c r="AC62" s="116">
        <f t="shared" si="145"/>
        <v>0.65543679976081459</v>
      </c>
      <c r="AD62" s="220">
        <f t="shared" si="145"/>
        <v>0.65161313776060348</v>
      </c>
      <c r="AE62" s="116">
        <f t="shared" si="145"/>
        <v>0.60572303209741407</v>
      </c>
      <c r="AF62" s="116">
        <f t="shared" si="145"/>
        <v>0.62082309123354329</v>
      </c>
      <c r="AG62" s="116">
        <f t="shared" si="145"/>
        <v>0.62082309123354329</v>
      </c>
      <c r="AH62" s="116">
        <f t="shared" si="145"/>
        <v>0.62082309123354329</v>
      </c>
      <c r="AI62" s="220">
        <f t="shared" si="145"/>
        <v>0.6170003059958119</v>
      </c>
      <c r="AJ62" s="116">
        <f t="shared" si="145"/>
        <v>0.56600643229970771</v>
      </c>
      <c r="AK62" s="116">
        <f t="shared" si="145"/>
        <v>0.58087463136820372</v>
      </c>
      <c r="AL62" s="116">
        <f t="shared" si="145"/>
        <v>0.58087463136820372</v>
      </c>
      <c r="AM62" s="116">
        <f t="shared" si="145"/>
        <v>0.58087463136820372</v>
      </c>
      <c r="AN62" s="220">
        <f t="shared" si="145"/>
        <v>0.57711009302231819</v>
      </c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</row>
    <row r="63" spans="1:73" s="99" customFormat="1">
      <c r="A63" s="94"/>
      <c r="B63" s="93"/>
      <c r="C63" s="117"/>
      <c r="D63" s="106"/>
      <c r="E63" s="163"/>
      <c r="J63" s="154"/>
      <c r="O63" s="154"/>
      <c r="T63" s="154"/>
      <c r="Y63" s="154"/>
      <c r="AD63" s="217"/>
      <c r="AI63" s="217"/>
      <c r="AN63" s="217"/>
    </row>
    <row r="64" spans="1:73" s="225" customFormat="1" ht="15" thickBot="1">
      <c r="A64" s="222"/>
      <c r="B64" s="222"/>
      <c r="C64" s="223" t="s">
        <v>94</v>
      </c>
      <c r="D64" s="224"/>
      <c r="E64" s="224"/>
      <c r="F64" s="224"/>
      <c r="G64" s="224"/>
      <c r="H64" s="224"/>
      <c r="I64" s="224"/>
      <c r="J64" s="221"/>
      <c r="K64" s="224"/>
      <c r="L64" s="224"/>
      <c r="M64" s="224"/>
      <c r="N64" s="224"/>
      <c r="O64" s="221"/>
      <c r="P64" s="224"/>
      <c r="Q64" s="224"/>
      <c r="R64" s="224"/>
      <c r="S64" s="224"/>
      <c r="T64" s="221"/>
      <c r="U64" s="224"/>
      <c r="V64" s="224"/>
      <c r="W64" s="224"/>
      <c r="X64" s="224"/>
      <c r="Y64" s="221"/>
      <c r="Z64" s="224"/>
      <c r="AA64" s="224"/>
      <c r="AB64" s="224"/>
      <c r="AC64" s="224"/>
      <c r="AD64" s="221"/>
      <c r="AE64" s="224"/>
      <c r="AF64" s="224"/>
      <c r="AG64" s="224"/>
      <c r="AH64" s="224"/>
      <c r="AI64" s="221"/>
      <c r="AJ64" s="224"/>
      <c r="AK64" s="224"/>
      <c r="AL64" s="224"/>
      <c r="AM64" s="224"/>
      <c r="AN64" s="221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0" s="99" customFormat="1" hidden="1" outlineLevel="1">
      <c r="A65" s="94"/>
      <c r="B65" s="93"/>
      <c r="C65" s="100" t="s">
        <v>84</v>
      </c>
      <c r="D65" s="106"/>
      <c r="E65" s="163"/>
      <c r="F65" s="99">
        <f>(Персонал!$P$139+Персонал!$P$140+Персонал!$P$146+Персонал!$P$147)/12*3</f>
        <v>0</v>
      </c>
      <c r="G65" s="99">
        <f>(Персонал!$P$139+Персонал!$P$140+Персонал!$P$146+Персонал!$P$147)/12*3</f>
        <v>0</v>
      </c>
      <c r="H65" s="99">
        <f>(Персонал!$P$139+Персонал!$P$140+Персонал!$P$146+Персонал!$P$147)/12*3</f>
        <v>0</v>
      </c>
      <c r="I65" s="99">
        <f>(Персонал!$P$139+Персонал!$P$140+Персонал!$P$146+Персонал!$P$147)/12*3</f>
        <v>0</v>
      </c>
      <c r="J65" s="204">
        <f t="shared" ref="J65:J70" si="146">SUM(F65:I65)</f>
        <v>0</v>
      </c>
      <c r="K65" s="99">
        <v>0</v>
      </c>
      <c r="L65" s="99">
        <v>0</v>
      </c>
      <c r="M65" s="99">
        <v>0</v>
      </c>
      <c r="N65" s="99">
        <v>0</v>
      </c>
      <c r="O65" s="204">
        <f t="shared" ref="O65:O70" si="147">SUM(K65:N65)</f>
        <v>0</v>
      </c>
      <c r="P65" s="99">
        <f t="shared" ref="P65:S68" si="148">K65*(1+$D$39)</f>
        <v>0</v>
      </c>
      <c r="Q65" s="99">
        <f t="shared" si="148"/>
        <v>0</v>
      </c>
      <c r="R65" s="99">
        <f t="shared" si="148"/>
        <v>0</v>
      </c>
      <c r="S65" s="99">
        <f t="shared" si="148"/>
        <v>0</v>
      </c>
      <c r="T65" s="204">
        <f t="shared" ref="T65:T70" si="149">SUM(P65:S65)</f>
        <v>0</v>
      </c>
      <c r="U65" s="99">
        <f t="shared" ref="U65:X68" si="150">P65*(1+$D$39)</f>
        <v>0</v>
      </c>
      <c r="V65" s="99">
        <f t="shared" si="150"/>
        <v>0</v>
      </c>
      <c r="W65" s="99">
        <f t="shared" si="150"/>
        <v>0</v>
      </c>
      <c r="X65" s="99">
        <f t="shared" si="150"/>
        <v>0</v>
      </c>
      <c r="Y65" s="204">
        <f t="shared" ref="Y65:Y70" si="151">SUM(U65:X65)</f>
        <v>0</v>
      </c>
      <c r="Z65" s="99">
        <f t="shared" ref="Z65:AC68" si="152">U65*(1+$D$39)</f>
        <v>0</v>
      </c>
      <c r="AA65" s="99">
        <f t="shared" si="152"/>
        <v>0</v>
      </c>
      <c r="AB65" s="99">
        <f t="shared" si="152"/>
        <v>0</v>
      </c>
      <c r="AC65" s="99">
        <f t="shared" si="152"/>
        <v>0</v>
      </c>
      <c r="AD65" s="204">
        <f t="shared" ref="AD65:AD70" si="153">SUM(Z65:AC65)</f>
        <v>0</v>
      </c>
      <c r="AE65" s="99">
        <f t="shared" ref="AE65:AH68" si="154">Z65*(1+$D$39)</f>
        <v>0</v>
      </c>
      <c r="AF65" s="99">
        <f t="shared" si="154"/>
        <v>0</v>
      </c>
      <c r="AG65" s="99">
        <f t="shared" si="154"/>
        <v>0</v>
      </c>
      <c r="AH65" s="99">
        <f t="shared" si="154"/>
        <v>0</v>
      </c>
      <c r="AI65" s="204">
        <f t="shared" ref="AI65:AI70" si="155">SUM(AE65:AH65)</f>
        <v>0</v>
      </c>
      <c r="AJ65" s="99">
        <f t="shared" ref="AJ65:AM68" si="156">AE65*(1+$D$39)</f>
        <v>0</v>
      </c>
      <c r="AK65" s="99">
        <f t="shared" si="156"/>
        <v>0</v>
      </c>
      <c r="AL65" s="99">
        <f t="shared" si="156"/>
        <v>0</v>
      </c>
      <c r="AM65" s="99">
        <f t="shared" si="156"/>
        <v>0</v>
      </c>
      <c r="AN65" s="204">
        <f t="shared" ref="AN65:AN70" si="157">SUM(AJ65:AM65)</f>
        <v>0</v>
      </c>
      <c r="AS65" s="105"/>
      <c r="AX65" s="105"/>
      <c r="BC65" s="105"/>
      <c r="BH65" s="105"/>
      <c r="BM65" s="105"/>
      <c r="BR65" s="105"/>
    </row>
    <row r="66" spans="1:70" s="99" customFormat="1" hidden="1" outlineLevel="1">
      <c r="A66" s="94"/>
      <c r="B66" s="93"/>
      <c r="C66" s="100" t="s">
        <v>95</v>
      </c>
      <c r="D66" s="107"/>
      <c r="E66" s="164"/>
      <c r="F66" s="99">
        <v>0</v>
      </c>
      <c r="G66" s="99">
        <v>0</v>
      </c>
      <c r="H66" s="99">
        <v>0</v>
      </c>
      <c r="I66" s="99">
        <v>0</v>
      </c>
      <c r="J66" s="204">
        <f t="shared" si="146"/>
        <v>0</v>
      </c>
      <c r="K66" s="99">
        <v>0</v>
      </c>
      <c r="L66" s="99">
        <v>0</v>
      </c>
      <c r="M66" s="99">
        <v>0</v>
      </c>
      <c r="N66" s="99">
        <v>0</v>
      </c>
      <c r="O66" s="204">
        <f t="shared" si="147"/>
        <v>0</v>
      </c>
      <c r="P66" s="99">
        <f t="shared" si="148"/>
        <v>0</v>
      </c>
      <c r="Q66" s="99">
        <f t="shared" si="148"/>
        <v>0</v>
      </c>
      <c r="R66" s="99">
        <f t="shared" si="148"/>
        <v>0</v>
      </c>
      <c r="S66" s="99">
        <f t="shared" si="148"/>
        <v>0</v>
      </c>
      <c r="T66" s="204">
        <f t="shared" si="149"/>
        <v>0</v>
      </c>
      <c r="U66" s="99">
        <f t="shared" si="150"/>
        <v>0</v>
      </c>
      <c r="V66" s="99">
        <f t="shared" si="150"/>
        <v>0</v>
      </c>
      <c r="W66" s="99">
        <f t="shared" si="150"/>
        <v>0</v>
      </c>
      <c r="X66" s="99">
        <f t="shared" si="150"/>
        <v>0</v>
      </c>
      <c r="Y66" s="204">
        <f t="shared" si="151"/>
        <v>0</v>
      </c>
      <c r="Z66" s="99">
        <f t="shared" si="152"/>
        <v>0</v>
      </c>
      <c r="AA66" s="99">
        <f t="shared" si="152"/>
        <v>0</v>
      </c>
      <c r="AB66" s="99">
        <f t="shared" si="152"/>
        <v>0</v>
      </c>
      <c r="AC66" s="99">
        <f t="shared" si="152"/>
        <v>0</v>
      </c>
      <c r="AD66" s="204">
        <f t="shared" si="153"/>
        <v>0</v>
      </c>
      <c r="AE66" s="99">
        <f t="shared" si="154"/>
        <v>0</v>
      </c>
      <c r="AF66" s="99">
        <f t="shared" si="154"/>
        <v>0</v>
      </c>
      <c r="AG66" s="99">
        <f t="shared" si="154"/>
        <v>0</v>
      </c>
      <c r="AH66" s="99">
        <f t="shared" si="154"/>
        <v>0</v>
      </c>
      <c r="AI66" s="204">
        <f t="shared" si="155"/>
        <v>0</v>
      </c>
      <c r="AJ66" s="99">
        <f t="shared" si="156"/>
        <v>0</v>
      </c>
      <c r="AK66" s="99">
        <f t="shared" si="156"/>
        <v>0</v>
      </c>
      <c r="AL66" s="99">
        <f t="shared" si="156"/>
        <v>0</v>
      </c>
      <c r="AM66" s="99">
        <f t="shared" si="156"/>
        <v>0</v>
      </c>
      <c r="AN66" s="204">
        <f t="shared" si="157"/>
        <v>0</v>
      </c>
      <c r="AS66" s="105"/>
      <c r="AX66" s="105"/>
      <c r="BC66" s="105"/>
      <c r="BH66" s="105"/>
      <c r="BM66" s="105"/>
      <c r="BR66" s="105"/>
    </row>
    <row r="67" spans="1:70" s="99" customFormat="1" hidden="1" outlineLevel="1">
      <c r="A67" s="94"/>
      <c r="B67" s="93"/>
      <c r="C67" s="100" t="s">
        <v>96</v>
      </c>
      <c r="D67" s="106" t="s">
        <v>97</v>
      </c>
      <c r="E67" s="163"/>
      <c r="F67" s="99">
        <v>0</v>
      </c>
      <c r="G67" s="99">
        <v>0</v>
      </c>
      <c r="H67" s="99">
        <v>0</v>
      </c>
      <c r="I67" s="99">
        <v>0</v>
      </c>
      <c r="J67" s="204">
        <f t="shared" si="146"/>
        <v>0</v>
      </c>
      <c r="K67" s="99">
        <f>J67*1.05</f>
        <v>0</v>
      </c>
      <c r="L67" s="99">
        <f t="shared" ref="L67:N68" si="158">K67</f>
        <v>0</v>
      </c>
      <c r="M67" s="99">
        <f t="shared" si="158"/>
        <v>0</v>
      </c>
      <c r="N67" s="99">
        <f t="shared" si="158"/>
        <v>0</v>
      </c>
      <c r="O67" s="204">
        <f t="shared" si="147"/>
        <v>0</v>
      </c>
      <c r="P67" s="99">
        <f t="shared" si="148"/>
        <v>0</v>
      </c>
      <c r="Q67" s="99">
        <f t="shared" si="148"/>
        <v>0</v>
      </c>
      <c r="R67" s="99">
        <f t="shared" si="148"/>
        <v>0</v>
      </c>
      <c r="S67" s="99">
        <f t="shared" si="148"/>
        <v>0</v>
      </c>
      <c r="T67" s="204">
        <f t="shared" si="149"/>
        <v>0</v>
      </c>
      <c r="U67" s="99">
        <f t="shared" si="150"/>
        <v>0</v>
      </c>
      <c r="V67" s="99">
        <f t="shared" si="150"/>
        <v>0</v>
      </c>
      <c r="W67" s="99">
        <f t="shared" si="150"/>
        <v>0</v>
      </c>
      <c r="X67" s="99">
        <f t="shared" si="150"/>
        <v>0</v>
      </c>
      <c r="Y67" s="204">
        <f t="shared" si="151"/>
        <v>0</v>
      </c>
      <c r="Z67" s="99">
        <f t="shared" si="152"/>
        <v>0</v>
      </c>
      <c r="AA67" s="99">
        <f t="shared" si="152"/>
        <v>0</v>
      </c>
      <c r="AB67" s="99">
        <f t="shared" si="152"/>
        <v>0</v>
      </c>
      <c r="AC67" s="99">
        <f t="shared" si="152"/>
        <v>0</v>
      </c>
      <c r="AD67" s="204">
        <f t="shared" si="153"/>
        <v>0</v>
      </c>
      <c r="AE67" s="99">
        <f t="shared" si="154"/>
        <v>0</v>
      </c>
      <c r="AF67" s="99">
        <f t="shared" si="154"/>
        <v>0</v>
      </c>
      <c r="AG67" s="99">
        <f t="shared" si="154"/>
        <v>0</v>
      </c>
      <c r="AH67" s="99">
        <f t="shared" si="154"/>
        <v>0</v>
      </c>
      <c r="AI67" s="204">
        <f t="shared" si="155"/>
        <v>0</v>
      </c>
      <c r="AJ67" s="99">
        <f t="shared" si="156"/>
        <v>0</v>
      </c>
      <c r="AK67" s="99">
        <f t="shared" si="156"/>
        <v>0</v>
      </c>
      <c r="AL67" s="99">
        <f t="shared" si="156"/>
        <v>0</v>
      </c>
      <c r="AM67" s="99">
        <f t="shared" si="156"/>
        <v>0</v>
      </c>
      <c r="AN67" s="204">
        <f t="shared" si="157"/>
        <v>0</v>
      </c>
      <c r="AS67" s="105"/>
      <c r="AX67" s="105"/>
      <c r="BC67" s="105"/>
      <c r="BH67" s="105"/>
      <c r="BM67" s="105"/>
      <c r="BR67" s="105"/>
    </row>
    <row r="68" spans="1:70" s="99" customFormat="1" hidden="1" outlineLevel="1">
      <c r="A68" s="94"/>
      <c r="B68" s="93"/>
      <c r="C68" s="100" t="s">
        <v>98</v>
      </c>
      <c r="D68" s="106"/>
      <c r="E68" s="163"/>
      <c r="F68" s="99">
        <v>0</v>
      </c>
      <c r="G68" s="99">
        <v>0</v>
      </c>
      <c r="H68" s="99">
        <v>0</v>
      </c>
      <c r="I68" s="99">
        <v>0</v>
      </c>
      <c r="J68" s="204">
        <f t="shared" si="146"/>
        <v>0</v>
      </c>
      <c r="K68" s="99">
        <f>J68*1.05</f>
        <v>0</v>
      </c>
      <c r="L68" s="99">
        <f t="shared" si="158"/>
        <v>0</v>
      </c>
      <c r="M68" s="99">
        <f t="shared" si="158"/>
        <v>0</v>
      </c>
      <c r="N68" s="99">
        <f t="shared" si="158"/>
        <v>0</v>
      </c>
      <c r="O68" s="204">
        <f t="shared" si="147"/>
        <v>0</v>
      </c>
      <c r="P68" s="99">
        <f t="shared" si="148"/>
        <v>0</v>
      </c>
      <c r="Q68" s="99">
        <f t="shared" si="148"/>
        <v>0</v>
      </c>
      <c r="R68" s="99">
        <f t="shared" si="148"/>
        <v>0</v>
      </c>
      <c r="S68" s="99">
        <f t="shared" si="148"/>
        <v>0</v>
      </c>
      <c r="T68" s="204">
        <f t="shared" si="149"/>
        <v>0</v>
      </c>
      <c r="U68" s="99">
        <f t="shared" si="150"/>
        <v>0</v>
      </c>
      <c r="V68" s="99">
        <f t="shared" si="150"/>
        <v>0</v>
      </c>
      <c r="W68" s="99">
        <f t="shared" si="150"/>
        <v>0</v>
      </c>
      <c r="X68" s="99">
        <f t="shared" si="150"/>
        <v>0</v>
      </c>
      <c r="Y68" s="204">
        <f t="shared" si="151"/>
        <v>0</v>
      </c>
      <c r="Z68" s="99">
        <f t="shared" si="152"/>
        <v>0</v>
      </c>
      <c r="AA68" s="99">
        <f t="shared" si="152"/>
        <v>0</v>
      </c>
      <c r="AB68" s="99">
        <f t="shared" si="152"/>
        <v>0</v>
      </c>
      <c r="AC68" s="99">
        <f t="shared" si="152"/>
        <v>0</v>
      </c>
      <c r="AD68" s="204">
        <f t="shared" si="153"/>
        <v>0</v>
      </c>
      <c r="AE68" s="99">
        <f t="shared" si="154"/>
        <v>0</v>
      </c>
      <c r="AF68" s="99">
        <f t="shared" si="154"/>
        <v>0</v>
      </c>
      <c r="AG68" s="99">
        <f t="shared" si="154"/>
        <v>0</v>
      </c>
      <c r="AH68" s="99">
        <f t="shared" si="154"/>
        <v>0</v>
      </c>
      <c r="AI68" s="204">
        <f t="shared" si="155"/>
        <v>0</v>
      </c>
      <c r="AJ68" s="99">
        <f t="shared" si="156"/>
        <v>0</v>
      </c>
      <c r="AK68" s="99">
        <f t="shared" si="156"/>
        <v>0</v>
      </c>
      <c r="AL68" s="99">
        <f t="shared" si="156"/>
        <v>0</v>
      </c>
      <c r="AM68" s="99">
        <f t="shared" si="156"/>
        <v>0</v>
      </c>
      <c r="AN68" s="204">
        <f t="shared" si="157"/>
        <v>0</v>
      </c>
      <c r="AS68" s="105"/>
      <c r="AX68" s="105"/>
      <c r="BC68" s="105"/>
      <c r="BH68" s="105"/>
      <c r="BM68" s="105"/>
      <c r="BR68" s="105"/>
    </row>
    <row r="69" spans="1:70" s="99" customFormat="1" hidden="1" outlineLevel="1">
      <c r="A69" s="94"/>
      <c r="B69" s="93"/>
      <c r="C69" s="100" t="s">
        <v>88</v>
      </c>
      <c r="D69" s="106"/>
      <c r="E69" s="163"/>
      <c r="F69" s="99">
        <v>0</v>
      </c>
      <c r="G69" s="99">
        <v>0</v>
      </c>
      <c r="H69" s="99">
        <v>0</v>
      </c>
      <c r="I69" s="99">
        <v>0</v>
      </c>
      <c r="J69" s="154">
        <f t="shared" si="146"/>
        <v>0</v>
      </c>
      <c r="K69" s="99">
        <f>I69*1.05</f>
        <v>0</v>
      </c>
      <c r="L69" s="99">
        <f>K69</f>
        <v>0</v>
      </c>
      <c r="M69" s="99">
        <f>K69</f>
        <v>0</v>
      </c>
      <c r="N69" s="99">
        <f>K69</f>
        <v>0</v>
      </c>
      <c r="O69" s="154">
        <f t="shared" si="147"/>
        <v>0</v>
      </c>
      <c r="P69" s="99">
        <f>N69*1.05</f>
        <v>0</v>
      </c>
      <c r="Q69" s="99">
        <f>P69</f>
        <v>0</v>
      </c>
      <c r="R69" s="99">
        <f>P69</f>
        <v>0</v>
      </c>
      <c r="S69" s="99">
        <f>P69</f>
        <v>0</v>
      </c>
      <c r="T69" s="154">
        <f t="shared" si="149"/>
        <v>0</v>
      </c>
      <c r="U69" s="99">
        <f>S69*1.05</f>
        <v>0</v>
      </c>
      <c r="V69" s="99">
        <f>U69</f>
        <v>0</v>
      </c>
      <c r="W69" s="99">
        <f>U69</f>
        <v>0</v>
      </c>
      <c r="X69" s="99">
        <f>U69</f>
        <v>0</v>
      </c>
      <c r="Y69" s="154">
        <f t="shared" si="151"/>
        <v>0</v>
      </c>
      <c r="Z69" s="99">
        <f>X69*1.05</f>
        <v>0</v>
      </c>
      <c r="AA69" s="99">
        <f>Z69</f>
        <v>0</v>
      </c>
      <c r="AB69" s="99">
        <f>Z69</f>
        <v>0</v>
      </c>
      <c r="AC69" s="99">
        <f>Z69</f>
        <v>0</v>
      </c>
      <c r="AD69" s="217">
        <f t="shared" si="153"/>
        <v>0</v>
      </c>
      <c r="AE69" s="99">
        <f>AC69*1.05</f>
        <v>0</v>
      </c>
      <c r="AF69" s="99">
        <f>AE69</f>
        <v>0</v>
      </c>
      <c r="AG69" s="99">
        <f>AE69</f>
        <v>0</v>
      </c>
      <c r="AH69" s="99">
        <f>AE69</f>
        <v>0</v>
      </c>
      <c r="AI69" s="217">
        <f t="shared" si="155"/>
        <v>0</v>
      </c>
      <c r="AJ69" s="99">
        <f>AH69*1.05</f>
        <v>0</v>
      </c>
      <c r="AK69" s="99">
        <f>AJ69</f>
        <v>0</v>
      </c>
      <c r="AL69" s="99">
        <f>AJ69</f>
        <v>0</v>
      </c>
      <c r="AM69" s="99">
        <f>AJ69</f>
        <v>0</v>
      </c>
      <c r="AN69" s="217">
        <f t="shared" si="157"/>
        <v>0</v>
      </c>
    </row>
    <row r="70" spans="1:70" s="99" customFormat="1" hidden="1" outlineLevel="1">
      <c r="A70" s="94"/>
      <c r="B70" s="93"/>
      <c r="C70" s="100" t="s">
        <v>99</v>
      </c>
      <c r="D70" s="106"/>
      <c r="E70" s="163"/>
      <c r="F70" s="99">
        <v>0</v>
      </c>
      <c r="G70" s="99">
        <v>0</v>
      </c>
      <c r="H70" s="99">
        <v>0</v>
      </c>
      <c r="I70" s="99">
        <v>0</v>
      </c>
      <c r="J70" s="154">
        <f t="shared" si="146"/>
        <v>0</v>
      </c>
      <c r="K70" s="99">
        <f>I70*1.05</f>
        <v>0</v>
      </c>
      <c r="L70" s="99">
        <f>K70</f>
        <v>0</v>
      </c>
      <c r="M70" s="99">
        <f>K70</f>
        <v>0</v>
      </c>
      <c r="N70" s="99">
        <f>K70</f>
        <v>0</v>
      </c>
      <c r="O70" s="154">
        <f t="shared" si="147"/>
        <v>0</v>
      </c>
      <c r="P70" s="99">
        <f>N70*1.05</f>
        <v>0</v>
      </c>
      <c r="Q70" s="99">
        <f>P70</f>
        <v>0</v>
      </c>
      <c r="R70" s="99">
        <f>P70</f>
        <v>0</v>
      </c>
      <c r="S70" s="99">
        <f>P70</f>
        <v>0</v>
      </c>
      <c r="T70" s="154">
        <f t="shared" si="149"/>
        <v>0</v>
      </c>
      <c r="U70" s="99">
        <f>S70*1.05</f>
        <v>0</v>
      </c>
      <c r="V70" s="99">
        <f>U70</f>
        <v>0</v>
      </c>
      <c r="W70" s="99">
        <f>U70</f>
        <v>0</v>
      </c>
      <c r="X70" s="99">
        <f>U70</f>
        <v>0</v>
      </c>
      <c r="Y70" s="154">
        <f t="shared" si="151"/>
        <v>0</v>
      </c>
      <c r="Z70" s="99">
        <f>X70*1.05</f>
        <v>0</v>
      </c>
      <c r="AA70" s="99">
        <f>Z70</f>
        <v>0</v>
      </c>
      <c r="AB70" s="99">
        <f>Z70</f>
        <v>0</v>
      </c>
      <c r="AC70" s="99">
        <f>Z70</f>
        <v>0</v>
      </c>
      <c r="AD70" s="217">
        <f t="shared" si="153"/>
        <v>0</v>
      </c>
      <c r="AE70" s="99">
        <f>AC70*1.05</f>
        <v>0</v>
      </c>
      <c r="AF70" s="99">
        <f>AE70</f>
        <v>0</v>
      </c>
      <c r="AG70" s="99">
        <f>AE70</f>
        <v>0</v>
      </c>
      <c r="AH70" s="99">
        <f>AE70</f>
        <v>0</v>
      </c>
      <c r="AI70" s="217">
        <f t="shared" si="155"/>
        <v>0</v>
      </c>
      <c r="AJ70" s="99">
        <f>AH70*1.05</f>
        <v>0</v>
      </c>
      <c r="AK70" s="99">
        <f>AJ70</f>
        <v>0</v>
      </c>
      <c r="AL70" s="99">
        <f>AJ70</f>
        <v>0</v>
      </c>
      <c r="AM70" s="99">
        <f>AJ70</f>
        <v>0</v>
      </c>
      <c r="AN70" s="217">
        <f t="shared" si="157"/>
        <v>0</v>
      </c>
    </row>
    <row r="71" spans="1:70" s="99" customFormat="1" hidden="1" outlineLevel="1">
      <c r="A71" s="94"/>
      <c r="B71" s="93"/>
      <c r="C71" s="100" t="s">
        <v>100</v>
      </c>
      <c r="D71" s="103"/>
      <c r="E71" s="161"/>
      <c r="F71" s="99">
        <v>0</v>
      </c>
      <c r="G71" s="99">
        <v>0</v>
      </c>
      <c r="H71" s="99">
        <v>0</v>
      </c>
      <c r="I71" s="99">
        <v>0</v>
      </c>
      <c r="J71" s="154">
        <f>F71+G71+H71+I71</f>
        <v>0</v>
      </c>
      <c r="K71" s="99">
        <v>0</v>
      </c>
      <c r="L71" s="99">
        <v>0</v>
      </c>
      <c r="M71" s="99">
        <v>0</v>
      </c>
      <c r="N71" s="99">
        <v>0</v>
      </c>
      <c r="O71" s="154">
        <f>K71+L71+M71+N71</f>
        <v>0</v>
      </c>
      <c r="P71" s="99">
        <v>0</v>
      </c>
      <c r="Q71" s="99">
        <v>0</v>
      </c>
      <c r="R71" s="99">
        <v>0</v>
      </c>
      <c r="S71" s="99">
        <v>0</v>
      </c>
      <c r="T71" s="154">
        <f>P71+Q71+R71+S71</f>
        <v>0</v>
      </c>
      <c r="U71" s="99">
        <v>0</v>
      </c>
      <c r="V71" s="99">
        <v>0</v>
      </c>
      <c r="W71" s="99">
        <v>0</v>
      </c>
      <c r="X71" s="99">
        <v>0</v>
      </c>
      <c r="Y71" s="154">
        <f>U71+V71+W71+X71</f>
        <v>0</v>
      </c>
      <c r="Z71" s="99">
        <v>0</v>
      </c>
      <c r="AA71" s="99">
        <v>0</v>
      </c>
      <c r="AB71" s="99">
        <v>0</v>
      </c>
      <c r="AC71" s="99">
        <v>0</v>
      </c>
      <c r="AD71" s="217">
        <f>Z71+AA71+AB71+AC71</f>
        <v>0</v>
      </c>
      <c r="AE71" s="99">
        <v>0</v>
      </c>
      <c r="AF71" s="99">
        <v>0</v>
      </c>
      <c r="AG71" s="99">
        <v>0</v>
      </c>
      <c r="AH71" s="99">
        <v>0</v>
      </c>
      <c r="AI71" s="217">
        <f>AE71+AF71+AG71+AH71</f>
        <v>0</v>
      </c>
      <c r="AJ71" s="99">
        <v>0</v>
      </c>
      <c r="AK71" s="99">
        <v>0</v>
      </c>
      <c r="AL71" s="99">
        <v>0</v>
      </c>
      <c r="AM71" s="99">
        <v>0</v>
      </c>
      <c r="AN71" s="217">
        <v>0</v>
      </c>
    </row>
    <row r="72" spans="1:70" s="99" customFormat="1" hidden="1" outlineLevel="1">
      <c r="A72" s="94"/>
      <c r="B72" s="93"/>
      <c r="C72" s="100" t="s">
        <v>101</v>
      </c>
      <c r="E72" s="110"/>
      <c r="F72" s="99">
        <v>0</v>
      </c>
      <c r="G72" s="99">
        <v>0</v>
      </c>
      <c r="H72" s="99">
        <v>0</v>
      </c>
      <c r="I72" s="99">
        <v>0</v>
      </c>
      <c r="J72" s="154">
        <f>SUM(H72:I72)</f>
        <v>0</v>
      </c>
      <c r="K72" s="99">
        <f>I72*1.05</f>
        <v>0</v>
      </c>
      <c r="L72" s="99">
        <f>K72</f>
        <v>0</v>
      </c>
      <c r="M72" s="99">
        <f>K72</f>
        <v>0</v>
      </c>
      <c r="N72" s="99">
        <f>K72</f>
        <v>0</v>
      </c>
      <c r="O72" s="154">
        <f t="shared" ref="O72:O80" si="159">SUM(K72:N72)</f>
        <v>0</v>
      </c>
      <c r="P72" s="99">
        <f>N72*1.05</f>
        <v>0</v>
      </c>
      <c r="Q72" s="99">
        <f>P72</f>
        <v>0</v>
      </c>
      <c r="R72" s="99">
        <f>P72</f>
        <v>0</v>
      </c>
      <c r="S72" s="99">
        <f>P72</f>
        <v>0</v>
      </c>
      <c r="T72" s="154">
        <f>SUM(P72:S72)</f>
        <v>0</v>
      </c>
      <c r="U72" s="99">
        <f>S72*1.05</f>
        <v>0</v>
      </c>
      <c r="V72" s="99">
        <f>U72</f>
        <v>0</v>
      </c>
      <c r="W72" s="99">
        <f>U72</f>
        <v>0</v>
      </c>
      <c r="X72" s="99">
        <f>U72</f>
        <v>0</v>
      </c>
      <c r="Y72" s="154">
        <f>SUM(U72:X72)</f>
        <v>0</v>
      </c>
      <c r="Z72" s="99">
        <f>X72*1.05</f>
        <v>0</v>
      </c>
      <c r="AA72" s="99">
        <f>Z72</f>
        <v>0</v>
      </c>
      <c r="AB72" s="99">
        <f>Z72</f>
        <v>0</v>
      </c>
      <c r="AC72" s="99">
        <f>Z72</f>
        <v>0</v>
      </c>
      <c r="AD72" s="217">
        <f>SUM(Z72:AC72)</f>
        <v>0</v>
      </c>
      <c r="AE72" s="99">
        <f>AC72*1.05</f>
        <v>0</v>
      </c>
      <c r="AF72" s="99">
        <f>AE72</f>
        <v>0</v>
      </c>
      <c r="AG72" s="99">
        <f>AE72</f>
        <v>0</v>
      </c>
      <c r="AH72" s="99">
        <f>AE72</f>
        <v>0</v>
      </c>
      <c r="AI72" s="217">
        <f>SUM(AE72:AH72)</f>
        <v>0</v>
      </c>
      <c r="AJ72" s="99">
        <f>AH72*1.05</f>
        <v>0</v>
      </c>
      <c r="AK72" s="99">
        <f>AJ72</f>
        <v>0</v>
      </c>
      <c r="AL72" s="99">
        <f>AJ72</f>
        <v>0</v>
      </c>
      <c r="AM72" s="99">
        <f>AJ72</f>
        <v>0</v>
      </c>
      <c r="AN72" s="217">
        <f>SUM(AJ72:AM72)</f>
        <v>0</v>
      </c>
    </row>
    <row r="73" spans="1:70" s="99" customFormat="1" hidden="1" outlineLevel="1">
      <c r="A73" s="94"/>
      <c r="B73" s="93"/>
      <c r="C73" s="100" t="s">
        <v>102</v>
      </c>
      <c r="D73" s="118">
        <v>0</v>
      </c>
      <c r="E73" s="167"/>
      <c r="F73" s="99">
        <f t="shared" ref="F73:G73" si="160">F41*$D$73</f>
        <v>0</v>
      </c>
      <c r="G73" s="99">
        <f t="shared" si="160"/>
        <v>0</v>
      </c>
      <c r="H73" s="99">
        <f>H41*$D$73</f>
        <v>0</v>
      </c>
      <c r="I73" s="99">
        <f>I41*$D$73</f>
        <v>0</v>
      </c>
      <c r="J73" s="204">
        <f>SUM(F73:I73)</f>
        <v>0</v>
      </c>
      <c r="K73" s="99">
        <f>K41*$D$73</f>
        <v>0</v>
      </c>
      <c r="L73" s="99">
        <f>L41*$D$73</f>
        <v>0</v>
      </c>
      <c r="M73" s="99">
        <f>M41*$D$73</f>
        <v>0</v>
      </c>
      <c r="N73" s="99">
        <f>N41*$D$73</f>
        <v>0</v>
      </c>
      <c r="O73" s="204">
        <f t="shared" si="159"/>
        <v>0</v>
      </c>
      <c r="P73" s="99">
        <f>P41*$D$73</f>
        <v>0</v>
      </c>
      <c r="Q73" s="99">
        <f>Q41*$D$73</f>
        <v>0</v>
      </c>
      <c r="R73" s="99">
        <f>R41*$D$73</f>
        <v>0</v>
      </c>
      <c r="S73" s="99">
        <f>S41*$D$73</f>
        <v>0</v>
      </c>
      <c r="T73" s="204">
        <f>SUM(P73:S73)</f>
        <v>0</v>
      </c>
      <c r="U73" s="99">
        <f>U41*$D$73</f>
        <v>0</v>
      </c>
      <c r="V73" s="99">
        <f>V41*$D$73</f>
        <v>0</v>
      </c>
      <c r="W73" s="99">
        <f>W41*$D$73</f>
        <v>0</v>
      </c>
      <c r="X73" s="99">
        <f>X41*$D$73</f>
        <v>0</v>
      </c>
      <c r="Y73" s="204">
        <f>SUM(U73:X73)</f>
        <v>0</v>
      </c>
      <c r="Z73" s="99">
        <f>Z41*$D$73</f>
        <v>0</v>
      </c>
      <c r="AA73" s="99">
        <f>AA41*$D$73</f>
        <v>0</v>
      </c>
      <c r="AB73" s="99">
        <f>AB41*$D$73</f>
        <v>0</v>
      </c>
      <c r="AC73" s="99">
        <f>AC41*$D$73</f>
        <v>0</v>
      </c>
      <c r="AD73" s="204">
        <f>SUM(Z73:AC73)</f>
        <v>0</v>
      </c>
      <c r="AE73" s="99">
        <f>AE41*$D$73</f>
        <v>0</v>
      </c>
      <c r="AF73" s="99">
        <f>AF41*$D$73</f>
        <v>0</v>
      </c>
      <c r="AG73" s="99">
        <f>AG41*$D$73</f>
        <v>0</v>
      </c>
      <c r="AH73" s="99">
        <f>AH41*$D$73</f>
        <v>0</v>
      </c>
      <c r="AI73" s="204">
        <f>SUM(AE73:AH73)</f>
        <v>0</v>
      </c>
      <c r="AJ73" s="99">
        <f>AJ41*$D$73</f>
        <v>0</v>
      </c>
      <c r="AK73" s="99">
        <f>AK41*$D$73</f>
        <v>0</v>
      </c>
      <c r="AL73" s="99">
        <f>AL41*$D$73</f>
        <v>0</v>
      </c>
      <c r="AM73" s="99">
        <f>AM41*$D$73</f>
        <v>0</v>
      </c>
      <c r="AN73" s="204">
        <f>SUM(AJ73:AM73)</f>
        <v>0</v>
      </c>
      <c r="AS73" s="105"/>
      <c r="AX73" s="105"/>
      <c r="BC73" s="105"/>
      <c r="BH73" s="105"/>
      <c r="BM73" s="105"/>
      <c r="BR73" s="105"/>
    </row>
    <row r="74" spans="1:70" s="99" customFormat="1" hidden="1" outlineLevel="1">
      <c r="A74" s="94"/>
      <c r="B74" s="93"/>
      <c r="C74" s="100" t="s">
        <v>89</v>
      </c>
      <c r="E74" s="110"/>
      <c r="F74" s="99">
        <v>0</v>
      </c>
      <c r="G74" s="99">
        <v>0</v>
      </c>
      <c r="H74" s="99">
        <v>0</v>
      </c>
      <c r="I74" s="99">
        <v>0</v>
      </c>
      <c r="J74" s="154">
        <f>SUM(F74:I74)</f>
        <v>0</v>
      </c>
      <c r="K74" s="99">
        <f>I74*1.05</f>
        <v>0</v>
      </c>
      <c r="L74" s="99">
        <f>K74</f>
        <v>0</v>
      </c>
      <c r="M74" s="99">
        <f>K74</f>
        <v>0</v>
      </c>
      <c r="N74" s="99">
        <f>K74</f>
        <v>0</v>
      </c>
      <c r="O74" s="154">
        <f t="shared" si="159"/>
        <v>0</v>
      </c>
      <c r="P74" s="99">
        <v>0</v>
      </c>
      <c r="Q74" s="99">
        <v>0</v>
      </c>
      <c r="R74" s="99">
        <v>0</v>
      </c>
      <c r="S74" s="99">
        <v>0</v>
      </c>
      <c r="T74" s="154">
        <v>0</v>
      </c>
      <c r="U74" s="99">
        <v>0</v>
      </c>
      <c r="V74" s="99">
        <v>0</v>
      </c>
      <c r="W74" s="99">
        <v>0</v>
      </c>
      <c r="X74" s="99">
        <v>0</v>
      </c>
      <c r="Y74" s="154">
        <v>0</v>
      </c>
      <c r="Z74" s="99">
        <v>0</v>
      </c>
      <c r="AA74" s="99">
        <v>0</v>
      </c>
      <c r="AB74" s="99">
        <v>0</v>
      </c>
      <c r="AC74" s="99">
        <v>0</v>
      </c>
      <c r="AD74" s="217">
        <v>0</v>
      </c>
      <c r="AE74" s="99">
        <v>0</v>
      </c>
      <c r="AF74" s="99">
        <v>0</v>
      </c>
      <c r="AG74" s="99">
        <v>0</v>
      </c>
      <c r="AH74" s="99">
        <v>0</v>
      </c>
      <c r="AI74" s="217">
        <v>0</v>
      </c>
      <c r="AJ74" s="99">
        <v>0</v>
      </c>
      <c r="AK74" s="99">
        <v>0</v>
      </c>
      <c r="AL74" s="99">
        <v>0</v>
      </c>
      <c r="AM74" s="99">
        <v>0</v>
      </c>
      <c r="AN74" s="217">
        <v>0</v>
      </c>
    </row>
    <row r="75" spans="1:70" s="99" customFormat="1" hidden="1" outlineLevel="1">
      <c r="A75" s="94"/>
      <c r="B75" s="93"/>
      <c r="C75" s="100" t="s">
        <v>103</v>
      </c>
      <c r="E75" s="110"/>
      <c r="F75" s="99">
        <v>0</v>
      </c>
      <c r="G75" s="99">
        <v>0</v>
      </c>
      <c r="H75" s="99">
        <v>0</v>
      </c>
      <c r="I75" s="99">
        <v>0</v>
      </c>
      <c r="J75" s="154">
        <f>SUM(F75:I75)</f>
        <v>0</v>
      </c>
      <c r="K75" s="99">
        <f>I75*1.05</f>
        <v>0</v>
      </c>
      <c r="L75" s="99">
        <f>K75</f>
        <v>0</v>
      </c>
      <c r="M75" s="99">
        <f>K75</f>
        <v>0</v>
      </c>
      <c r="N75" s="99">
        <f>K75</f>
        <v>0</v>
      </c>
      <c r="O75" s="154">
        <f t="shared" si="159"/>
        <v>0</v>
      </c>
      <c r="P75" s="99">
        <f>N75*1.05</f>
        <v>0</v>
      </c>
      <c r="Q75" s="99">
        <f>P75</f>
        <v>0</v>
      </c>
      <c r="R75" s="99">
        <f>P75</f>
        <v>0</v>
      </c>
      <c r="S75" s="99">
        <f>P75</f>
        <v>0</v>
      </c>
      <c r="T75" s="154">
        <f>SUM(P75:S75)</f>
        <v>0</v>
      </c>
      <c r="U75" s="99">
        <f>S75*1.05</f>
        <v>0</v>
      </c>
      <c r="V75" s="99">
        <f>U75</f>
        <v>0</v>
      </c>
      <c r="W75" s="99">
        <f>U75</f>
        <v>0</v>
      </c>
      <c r="X75" s="99">
        <f>U75</f>
        <v>0</v>
      </c>
      <c r="Y75" s="154">
        <f>SUM(U75:X75)</f>
        <v>0</v>
      </c>
      <c r="Z75" s="99">
        <f>X75*1.05</f>
        <v>0</v>
      </c>
      <c r="AA75" s="99">
        <f>Z75</f>
        <v>0</v>
      </c>
      <c r="AB75" s="99">
        <f>Z75</f>
        <v>0</v>
      </c>
      <c r="AC75" s="99">
        <f>Z75</f>
        <v>0</v>
      </c>
      <c r="AD75" s="217">
        <f>SUM(Z75:AC75)</f>
        <v>0</v>
      </c>
      <c r="AE75" s="99">
        <f>AC75*1.05</f>
        <v>0</v>
      </c>
      <c r="AF75" s="99">
        <f>AE75</f>
        <v>0</v>
      </c>
      <c r="AG75" s="99">
        <f>AE75</f>
        <v>0</v>
      </c>
      <c r="AH75" s="99">
        <f>AE75</f>
        <v>0</v>
      </c>
      <c r="AI75" s="217">
        <f>SUM(AE75:AH75)</f>
        <v>0</v>
      </c>
      <c r="AJ75" s="99">
        <f>AH75*1.05</f>
        <v>0</v>
      </c>
      <c r="AK75" s="99">
        <f>AJ75</f>
        <v>0</v>
      </c>
      <c r="AL75" s="99">
        <f>AJ75</f>
        <v>0</v>
      </c>
      <c r="AM75" s="99">
        <f>AJ75</f>
        <v>0</v>
      </c>
      <c r="AN75" s="217">
        <f>SUM(AJ75:AM75)</f>
        <v>0</v>
      </c>
    </row>
    <row r="76" spans="1:70" s="99" customFormat="1" hidden="1" outlineLevel="1">
      <c r="A76" s="94"/>
      <c r="B76" s="93"/>
      <c r="C76" s="100" t="s">
        <v>87</v>
      </c>
      <c r="E76" s="110"/>
      <c r="F76" s="99">
        <v>0</v>
      </c>
      <c r="G76" s="99">
        <v>0</v>
      </c>
      <c r="H76" s="99">
        <v>0</v>
      </c>
      <c r="I76" s="99">
        <v>0</v>
      </c>
      <c r="J76" s="154">
        <f>SUM(H76:I76)</f>
        <v>0</v>
      </c>
      <c r="K76" s="99">
        <v>0</v>
      </c>
      <c r="L76" s="99">
        <v>0</v>
      </c>
      <c r="M76" s="99">
        <v>0</v>
      </c>
      <c r="N76" s="99">
        <v>0</v>
      </c>
      <c r="O76" s="154">
        <f t="shared" si="159"/>
        <v>0</v>
      </c>
      <c r="T76" s="154"/>
      <c r="Y76" s="154"/>
      <c r="AD76" s="217"/>
      <c r="AI76" s="217"/>
      <c r="AN76" s="217"/>
    </row>
    <row r="77" spans="1:70" s="99" customFormat="1" hidden="1" outlineLevel="1">
      <c r="A77" s="94"/>
      <c r="B77" s="93"/>
      <c r="C77" s="100" t="s">
        <v>104</v>
      </c>
      <c r="E77" s="110"/>
      <c r="F77" s="99">
        <v>0</v>
      </c>
      <c r="G77" s="99">
        <v>0</v>
      </c>
      <c r="H77" s="99">
        <v>0</v>
      </c>
      <c r="I77" s="99">
        <v>0</v>
      </c>
      <c r="J77" s="204">
        <f>SUM(F77:I77)</f>
        <v>0</v>
      </c>
      <c r="K77" s="99">
        <v>0</v>
      </c>
      <c r="L77" s="99">
        <v>0</v>
      </c>
      <c r="M77" s="99">
        <v>0</v>
      </c>
      <c r="N77" s="99">
        <v>0</v>
      </c>
      <c r="O77" s="204">
        <f t="shared" si="159"/>
        <v>0</v>
      </c>
      <c r="P77" s="99">
        <v>0</v>
      </c>
      <c r="Q77" s="99">
        <v>0</v>
      </c>
      <c r="R77" s="99">
        <v>0</v>
      </c>
      <c r="S77" s="99">
        <v>0</v>
      </c>
      <c r="T77" s="204">
        <f>SUM(P77:S77)</f>
        <v>0</v>
      </c>
      <c r="U77" s="99">
        <f>P77*(1+$D$39)</f>
        <v>0</v>
      </c>
      <c r="V77" s="99">
        <f>Q77*(1+$D$39)</f>
        <v>0</v>
      </c>
      <c r="W77" s="99">
        <f>R77*(1+$D$39)</f>
        <v>0</v>
      </c>
      <c r="X77" s="99">
        <f>S77*(1+$D$39)</f>
        <v>0</v>
      </c>
      <c r="Y77" s="204">
        <f>SUM(U77:X77)</f>
        <v>0</v>
      </c>
      <c r="Z77" s="99">
        <f>U77*(1+$D$39)</f>
        <v>0</v>
      </c>
      <c r="AA77" s="99">
        <f>V77*(1+$D$39)</f>
        <v>0</v>
      </c>
      <c r="AB77" s="99">
        <f>W77*(1+$D$39)</f>
        <v>0</v>
      </c>
      <c r="AC77" s="99">
        <f>X77*(1+$D$39)</f>
        <v>0</v>
      </c>
      <c r="AD77" s="204">
        <f>SUM(Z77:AC77)</f>
        <v>0</v>
      </c>
      <c r="AE77" s="99">
        <f>Z77*(1+$D$39)</f>
        <v>0</v>
      </c>
      <c r="AF77" s="99">
        <f>AA77*(1+$D$39)</f>
        <v>0</v>
      </c>
      <c r="AG77" s="99">
        <f>AB77*(1+$D$39)</f>
        <v>0</v>
      </c>
      <c r="AH77" s="99">
        <f>AC77*(1+$D$39)</f>
        <v>0</v>
      </c>
      <c r="AI77" s="204">
        <f>SUM(AE77:AH77)</f>
        <v>0</v>
      </c>
      <c r="AJ77" s="99">
        <f>AE77*(1+$D$39)</f>
        <v>0</v>
      </c>
      <c r="AK77" s="99">
        <f>AF77*(1+$D$39)</f>
        <v>0</v>
      </c>
      <c r="AL77" s="99">
        <f>AG77*(1+$D$39)</f>
        <v>0</v>
      </c>
      <c r="AM77" s="99">
        <f>AH77*(1+$D$39)</f>
        <v>0</v>
      </c>
      <c r="AN77" s="204">
        <f>SUM(AJ77:AM77)</f>
        <v>0</v>
      </c>
      <c r="AS77" s="105"/>
      <c r="AX77" s="105"/>
      <c r="BC77" s="105"/>
      <c r="BH77" s="105"/>
      <c r="BM77" s="105"/>
      <c r="BR77" s="105"/>
    </row>
    <row r="78" spans="1:70" s="99" customFormat="1" hidden="1" outlineLevel="1">
      <c r="A78" s="94"/>
      <c r="B78" s="93"/>
      <c r="C78" s="100" t="s">
        <v>105</v>
      </c>
      <c r="D78" s="119">
        <v>2.1999999999999999E-2</v>
      </c>
      <c r="E78" s="168"/>
      <c r="F78" s="99">
        <f>Территория!$C$15*$D$78/12*3</f>
        <v>2516.1558056249996</v>
      </c>
      <c r="G78" s="99">
        <f>Территория!$C$15*$D$78/12*3</f>
        <v>2516.1558056249996</v>
      </c>
      <c r="H78" s="99">
        <f>Территория!$C$15*$D$78/12*3</f>
        <v>2516.1558056249996</v>
      </c>
      <c r="I78" s="99">
        <f>Территория!$C$15*$D$78/12*3</f>
        <v>2516.1558056249996</v>
      </c>
      <c r="J78" s="204">
        <f>SUM(F78:I78)</f>
        <v>10064.623222499999</v>
      </c>
      <c r="K78" s="99">
        <f>Территория!$C$15*$D$78/12*3</f>
        <v>2516.1558056249996</v>
      </c>
      <c r="L78" s="99">
        <f>Территория!$C$15*$D$78/12*3</f>
        <v>2516.1558056249996</v>
      </c>
      <c r="M78" s="99">
        <f>Территория!$C$15*$D$78/12*3</f>
        <v>2516.1558056249996</v>
      </c>
      <c r="N78" s="99">
        <f>Территория!$C$15*$D$78/12*3</f>
        <v>2516.1558056249996</v>
      </c>
      <c r="O78" s="204">
        <f>SUM(K78:N78)</f>
        <v>10064.623222499999</v>
      </c>
      <c r="P78" s="99">
        <f>N78</f>
        <v>2516.1558056249996</v>
      </c>
      <c r="Q78" s="99">
        <f>P78</f>
        <v>2516.1558056249996</v>
      </c>
      <c r="R78" s="99">
        <f>Q78</f>
        <v>2516.1558056249996</v>
      </c>
      <c r="S78" s="99">
        <f>R78</f>
        <v>2516.1558056249996</v>
      </c>
      <c r="T78" s="204">
        <f>SUM(P78:S78)</f>
        <v>10064.623222499999</v>
      </c>
      <c r="U78" s="99">
        <f>S78</f>
        <v>2516.1558056249996</v>
      </c>
      <c r="V78" s="99">
        <f>U78</f>
        <v>2516.1558056249996</v>
      </c>
      <c r="W78" s="99">
        <f>V78</f>
        <v>2516.1558056249996</v>
      </c>
      <c r="X78" s="99">
        <f>W78</f>
        <v>2516.1558056249996</v>
      </c>
      <c r="Y78" s="204">
        <f>SUM(U78:X78)</f>
        <v>10064.623222499999</v>
      </c>
      <c r="Z78" s="99">
        <f>X78</f>
        <v>2516.1558056249996</v>
      </c>
      <c r="AA78" s="99">
        <f>Z78</f>
        <v>2516.1558056249996</v>
      </c>
      <c r="AB78" s="99">
        <f>AA78</f>
        <v>2516.1558056249996</v>
      </c>
      <c r="AC78" s="99">
        <f>AB78</f>
        <v>2516.1558056249996</v>
      </c>
      <c r="AD78" s="204">
        <f>SUM(Z78:AC78)</f>
        <v>10064.623222499999</v>
      </c>
      <c r="AE78" s="99">
        <f>AC78</f>
        <v>2516.1558056249996</v>
      </c>
      <c r="AF78" s="99">
        <f>AE78</f>
        <v>2516.1558056249996</v>
      </c>
      <c r="AG78" s="99">
        <f>AF78</f>
        <v>2516.1558056249996</v>
      </c>
      <c r="AH78" s="99">
        <f>AG78</f>
        <v>2516.1558056249996</v>
      </c>
      <c r="AI78" s="204">
        <f>SUM(AE78:AH78)</f>
        <v>10064.623222499999</v>
      </c>
      <c r="AJ78" s="99">
        <f>AH78</f>
        <v>2516.1558056249996</v>
      </c>
      <c r="AK78" s="99">
        <f>AJ78</f>
        <v>2516.1558056249996</v>
      </c>
      <c r="AL78" s="99">
        <f>AK78</f>
        <v>2516.1558056249996</v>
      </c>
      <c r="AM78" s="99">
        <f>AL78</f>
        <v>2516.1558056249996</v>
      </c>
      <c r="AN78" s="204">
        <f>SUM(AJ78:AM78)</f>
        <v>10064.623222499999</v>
      </c>
      <c r="AS78" s="105"/>
      <c r="AX78" s="105"/>
      <c r="BC78" s="105"/>
      <c r="BH78" s="105"/>
      <c r="BM78" s="105"/>
      <c r="BR78" s="105"/>
    </row>
    <row r="79" spans="1:70" s="99" customFormat="1" hidden="1" outlineLevel="1">
      <c r="A79" s="94"/>
      <c r="B79" s="93"/>
      <c r="C79" s="100" t="s">
        <v>106</v>
      </c>
      <c r="D79" s="119">
        <v>1.2E-2</v>
      </c>
      <c r="E79" s="168"/>
      <c r="F79" s="99">
        <f>(F9+F21+F33)*$D$79</f>
        <v>500.38800000000003</v>
      </c>
      <c r="G79" s="99">
        <f>(G9+G21+G33)*$D$79</f>
        <v>2326.1280000000002</v>
      </c>
      <c r="H79" s="99">
        <f>(H9+H21+H33)*$D$79</f>
        <v>2623.6559999999999</v>
      </c>
      <c r="I79" s="99">
        <f>(I9+I21+I33)*$D$79</f>
        <v>2772.4200000000005</v>
      </c>
      <c r="J79" s="204">
        <f>SUM(F79:I79)</f>
        <v>8222.5920000000006</v>
      </c>
      <c r="K79" s="99">
        <f>(K9+K21+K33)*$D$79</f>
        <v>2600.7811200000006</v>
      </c>
      <c r="L79" s="99">
        <f>(L9+L21+L33)*$D$79</f>
        <v>2600.7811200000006</v>
      </c>
      <c r="M79" s="99">
        <f>(M9+M21+M33)*$D$79</f>
        <v>2600.7811200000006</v>
      </c>
      <c r="N79" s="99">
        <f>(N9+N21+N33)*$D$79</f>
        <v>2600.7811200000006</v>
      </c>
      <c r="O79" s="204">
        <f>SUM(K79:N79)</f>
        <v>10403.124480000002</v>
      </c>
      <c r="P79" s="99">
        <f>(P9+P21+P33)*$D$79</f>
        <v>2650.0084800000004</v>
      </c>
      <c r="Q79" s="99">
        <f>(Q9+Q21+Q33)*$D$79</f>
        <v>2608.2000000000003</v>
      </c>
      <c r="R79" s="99">
        <f>(R9+R21+R33)*$D$79</f>
        <v>2608.2000000000003</v>
      </c>
      <c r="S79" s="99">
        <f>(S9+S21+S33)*$D$79</f>
        <v>2608.2000000000003</v>
      </c>
      <c r="T79" s="204">
        <f>SUM(P79:S79)</f>
        <v>10474.608480000003</v>
      </c>
      <c r="U79" s="99">
        <f>(U9+U21+U33)*$D$79</f>
        <v>2605.90092</v>
      </c>
      <c r="V79" s="99">
        <f>(V9+V21+V33)*$D$79</f>
        <v>2564.0924399999999</v>
      </c>
      <c r="W79" s="99">
        <f>(W9+W21+W33)*$D$79</f>
        <v>2564.0924399999999</v>
      </c>
      <c r="X79" s="99">
        <f>(X9+X21+X33)*$D$79</f>
        <v>2564.0924399999999</v>
      </c>
      <c r="Y79" s="204">
        <f>SUM(U79:X79)</f>
        <v>10298.178240000001</v>
      </c>
      <c r="Z79" s="99">
        <f>(Z9+Z21+Z33)*$D$79</f>
        <v>2563.613304</v>
      </c>
      <c r="AA79" s="99">
        <f>(AA9+AA21+AA33)*$D$79</f>
        <v>2522.4423839999999</v>
      </c>
      <c r="AB79" s="99">
        <f>(AB9+AB21+AB33)*$D$79</f>
        <v>2522.4423839999999</v>
      </c>
      <c r="AC79" s="99">
        <f>(AC9+AC21+AC33)*$D$79</f>
        <v>2522.4423839999999</v>
      </c>
      <c r="AD79" s="204">
        <f>SUM(Z79:AC79)</f>
        <v>10130.940456</v>
      </c>
      <c r="AE79" s="99">
        <f>(AE9+AE21+AE33)*$D$79</f>
        <v>2470.9978607999997</v>
      </c>
      <c r="AF79" s="99">
        <f>(AF9+AF21+AF33)*$D$79</f>
        <v>2429.8269407999996</v>
      </c>
      <c r="AG79" s="99">
        <f>(AG9+AG21+AG33)*$D$79</f>
        <v>2429.8269407999996</v>
      </c>
      <c r="AH79" s="99">
        <f>(AH9+AH21+AH33)*$D$79</f>
        <v>2429.8269407999996</v>
      </c>
      <c r="AI79" s="204">
        <f>SUM(AE79:AH79)</f>
        <v>9760.4786831999991</v>
      </c>
      <c r="AJ79" s="99">
        <f>(AJ9+AJ21+AJ33)*$D$79</f>
        <v>2404.7166131519994</v>
      </c>
      <c r="AK79" s="99">
        <f>(AK9+AK21+AK33)*$D$79</f>
        <v>2364.2701931519996</v>
      </c>
      <c r="AL79" s="99">
        <f>(AL9+AL21+AL33)*$D$79</f>
        <v>2364.2701931519996</v>
      </c>
      <c r="AM79" s="99">
        <f>(AM9+AM21+AM33)*$D$79</f>
        <v>2364.2701931519996</v>
      </c>
      <c r="AN79" s="204">
        <f>SUM(AJ79:AM79)</f>
        <v>9497.5271926079986</v>
      </c>
      <c r="AS79" s="105"/>
      <c r="AX79" s="105"/>
      <c r="BC79" s="105"/>
      <c r="BH79" s="105"/>
      <c r="BM79" s="105"/>
      <c r="BR79" s="105"/>
    </row>
    <row r="80" spans="1:70" s="99" customFormat="1" hidden="1" outlineLevel="1">
      <c r="A80" s="94"/>
      <c r="B80" s="93"/>
      <c r="C80" s="100" t="s">
        <v>107</v>
      </c>
      <c r="E80" s="110"/>
      <c r="F80" s="99">
        <v>20000</v>
      </c>
      <c r="G80" s="99">
        <v>20000</v>
      </c>
      <c r="H80" s="99">
        <v>20000</v>
      </c>
      <c r="I80" s="99">
        <v>20000</v>
      </c>
      <c r="J80" s="204">
        <f>SUM(F80:I80)</f>
        <v>80000</v>
      </c>
      <c r="K80" s="99">
        <v>20000</v>
      </c>
      <c r="L80" s="99">
        <v>20000</v>
      </c>
      <c r="M80" s="99">
        <v>20000</v>
      </c>
      <c r="N80" s="99">
        <v>20000</v>
      </c>
      <c r="O80" s="204">
        <f t="shared" si="159"/>
        <v>80000</v>
      </c>
      <c r="P80" s="99">
        <f>K80*(1+$D$39)</f>
        <v>22000</v>
      </c>
      <c r="Q80" s="99">
        <f>L80*(1+$D$39)</f>
        <v>22000</v>
      </c>
      <c r="R80" s="99">
        <f>M80*(1+$D$39)</f>
        <v>22000</v>
      </c>
      <c r="S80" s="99">
        <f>N80*(1+$D$39)</f>
        <v>22000</v>
      </c>
      <c r="T80" s="204">
        <f>SUM(P80:S80)</f>
        <v>88000</v>
      </c>
      <c r="U80" s="99">
        <f>P80*(1+$D$39)</f>
        <v>24200.000000000004</v>
      </c>
      <c r="V80" s="99">
        <f>Q80*(1+$D$39)</f>
        <v>24200.000000000004</v>
      </c>
      <c r="W80" s="99">
        <f>R80*(1+$D$39)</f>
        <v>24200.000000000004</v>
      </c>
      <c r="X80" s="99">
        <f>S80*(1+$D$39)</f>
        <v>24200.000000000004</v>
      </c>
      <c r="Y80" s="204">
        <f>SUM(U80:X80)</f>
        <v>96800.000000000015</v>
      </c>
      <c r="Z80" s="99">
        <f>U80*(1+$D$39)</f>
        <v>26620.000000000007</v>
      </c>
      <c r="AA80" s="99">
        <f>V80*(1+$D$39)</f>
        <v>26620.000000000007</v>
      </c>
      <c r="AB80" s="99">
        <f>W80*(1+$D$39)</f>
        <v>26620.000000000007</v>
      </c>
      <c r="AC80" s="99">
        <f>X80*(1+$D$39)</f>
        <v>26620.000000000007</v>
      </c>
      <c r="AD80" s="204">
        <f>SUM(Z80:AC80)</f>
        <v>106480.00000000003</v>
      </c>
      <c r="AE80" s="99">
        <f>Z80*(1+$D$39)</f>
        <v>29282.000000000011</v>
      </c>
      <c r="AF80" s="99">
        <f>AA80*(1+$D$39)</f>
        <v>29282.000000000011</v>
      </c>
      <c r="AG80" s="99">
        <f>AB80*(1+$D$39)</f>
        <v>29282.000000000011</v>
      </c>
      <c r="AH80" s="99">
        <f>AC80*(1+$D$39)</f>
        <v>29282.000000000011</v>
      </c>
      <c r="AI80" s="204">
        <f>SUM(AE80:AH80)</f>
        <v>117128.00000000004</v>
      </c>
      <c r="AJ80" s="99">
        <f>AE80*(1+$D$39)</f>
        <v>32210.200000000015</v>
      </c>
      <c r="AK80" s="99">
        <f>AF80*(1+$D$39)</f>
        <v>32210.200000000015</v>
      </c>
      <c r="AL80" s="99">
        <f>AG80*(1+$D$39)</f>
        <v>32210.200000000015</v>
      </c>
      <c r="AM80" s="99">
        <f>AH80*(1+$D$39)</f>
        <v>32210.200000000015</v>
      </c>
      <c r="AN80" s="204">
        <f>SUM(AJ80:AM80)</f>
        <v>128840.80000000006</v>
      </c>
      <c r="AS80" s="105"/>
      <c r="AX80" s="105"/>
      <c r="BC80" s="105"/>
      <c r="BH80" s="105"/>
      <c r="BM80" s="105"/>
      <c r="BR80" s="105"/>
    </row>
    <row r="81" spans="1:73" s="99" customFormat="1" ht="15" hidden="1" outlineLevel="1" thickBot="1">
      <c r="A81" s="94"/>
      <c r="B81" s="93"/>
      <c r="C81" s="94"/>
      <c r="E81" s="110"/>
      <c r="J81" s="154"/>
      <c r="O81" s="154"/>
      <c r="T81" s="154"/>
      <c r="Y81" s="154"/>
      <c r="AD81" s="217"/>
      <c r="AI81" s="217"/>
      <c r="AN81" s="217"/>
    </row>
    <row r="82" spans="1:73" s="225" customFormat="1" ht="15" collapsed="1" thickBot="1">
      <c r="A82" s="232"/>
      <c r="B82" s="232"/>
      <c r="C82" s="233" t="s">
        <v>108</v>
      </c>
      <c r="D82" s="234"/>
      <c r="E82" s="234"/>
      <c r="F82" s="234">
        <f t="shared" ref="F82:AI82" si="161">SUM(F65:F81)</f>
        <v>23016.543805624999</v>
      </c>
      <c r="G82" s="234">
        <f t="shared" si="161"/>
        <v>24842.283805625</v>
      </c>
      <c r="H82" s="234">
        <f t="shared" si="161"/>
        <v>25139.811805624999</v>
      </c>
      <c r="I82" s="234">
        <f t="shared" si="161"/>
        <v>25288.575805624998</v>
      </c>
      <c r="J82" s="239">
        <f t="shared" si="161"/>
        <v>98287.215222500003</v>
      </c>
      <c r="K82" s="234">
        <f t="shared" si="161"/>
        <v>25116.936925624999</v>
      </c>
      <c r="L82" s="234">
        <f t="shared" si="161"/>
        <v>25116.936925624999</v>
      </c>
      <c r="M82" s="234">
        <f t="shared" si="161"/>
        <v>25116.936925624999</v>
      </c>
      <c r="N82" s="234">
        <f t="shared" si="161"/>
        <v>25116.936925624999</v>
      </c>
      <c r="O82" s="239">
        <f t="shared" si="161"/>
        <v>100467.7477025</v>
      </c>
      <c r="P82" s="234">
        <f t="shared" si="161"/>
        <v>27166.164285625</v>
      </c>
      <c r="Q82" s="234">
        <f t="shared" si="161"/>
        <v>27124.355805625</v>
      </c>
      <c r="R82" s="234">
        <f t="shared" si="161"/>
        <v>27124.355805625</v>
      </c>
      <c r="S82" s="234">
        <f t="shared" si="161"/>
        <v>27124.355805625</v>
      </c>
      <c r="T82" s="239">
        <f t="shared" si="161"/>
        <v>108539.23170249999</v>
      </c>
      <c r="U82" s="234">
        <f t="shared" si="161"/>
        <v>29322.056725625003</v>
      </c>
      <c r="V82" s="234">
        <f t="shared" si="161"/>
        <v>29280.248245625004</v>
      </c>
      <c r="W82" s="234">
        <f t="shared" si="161"/>
        <v>29280.248245625004</v>
      </c>
      <c r="X82" s="234">
        <f t="shared" si="161"/>
        <v>29280.248245625004</v>
      </c>
      <c r="Y82" s="239">
        <f t="shared" si="161"/>
        <v>117162.80146250001</v>
      </c>
      <c r="Z82" s="234">
        <f t="shared" si="161"/>
        <v>31699.769109625006</v>
      </c>
      <c r="AA82" s="234">
        <f t="shared" si="161"/>
        <v>31658.598189625009</v>
      </c>
      <c r="AB82" s="234">
        <f t="shared" si="161"/>
        <v>31658.598189625009</v>
      </c>
      <c r="AC82" s="234">
        <f t="shared" si="161"/>
        <v>31658.598189625009</v>
      </c>
      <c r="AD82" s="239">
        <f t="shared" si="161"/>
        <v>126675.56367850002</v>
      </c>
      <c r="AE82" s="234">
        <f t="shared" si="161"/>
        <v>34269.153666425009</v>
      </c>
      <c r="AF82" s="234">
        <f t="shared" si="161"/>
        <v>34227.982746425012</v>
      </c>
      <c r="AG82" s="234">
        <f t="shared" si="161"/>
        <v>34227.982746425012</v>
      </c>
      <c r="AH82" s="234">
        <f t="shared" si="161"/>
        <v>34227.982746425012</v>
      </c>
      <c r="AI82" s="239">
        <f t="shared" si="161"/>
        <v>136953.10190570005</v>
      </c>
      <c r="AJ82" s="234">
        <f>SUM(AJ65:AJ81)</f>
        <v>37131.07241877701</v>
      </c>
      <c r="AK82" s="234">
        <f>SUM(AK65:AK81)</f>
        <v>37090.625998777017</v>
      </c>
      <c r="AL82" s="234">
        <f>SUM(AL65:AL81)</f>
        <v>37090.625998777017</v>
      </c>
      <c r="AM82" s="234">
        <f>SUM(AM65:AM81)</f>
        <v>37090.625998777017</v>
      </c>
      <c r="AN82" s="243">
        <f>SUM(AN65:AN81)</f>
        <v>148402.95041510806</v>
      </c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</row>
    <row r="83" spans="1:73" s="99" customFormat="1" ht="15" thickBot="1">
      <c r="A83" s="94"/>
      <c r="B83" s="93"/>
      <c r="C83" s="94"/>
      <c r="E83" s="110"/>
      <c r="J83" s="154"/>
      <c r="O83" s="154"/>
      <c r="T83" s="154"/>
      <c r="Y83" s="154"/>
      <c r="AD83" s="217"/>
      <c r="AI83" s="217"/>
      <c r="AN83" s="217"/>
    </row>
    <row r="84" spans="1:73" s="225" customFormat="1" ht="15" thickBot="1">
      <c r="A84" s="232"/>
      <c r="B84" s="232"/>
      <c r="C84" s="233" t="s">
        <v>109</v>
      </c>
      <c r="D84" s="234"/>
      <c r="E84" s="234"/>
      <c r="F84" s="234">
        <f t="shared" ref="F84:AN84" si="162">F41-F60-F82</f>
        <v>-123981.38749312499</v>
      </c>
      <c r="G84" s="234">
        <f t="shared" si="162"/>
        <v>-243900.62749312504</v>
      </c>
      <c r="H84" s="234">
        <f t="shared" si="162"/>
        <v>-43302.355493124938</v>
      </c>
      <c r="I84" s="234">
        <f t="shared" si="162"/>
        <v>56996.780506874937</v>
      </c>
      <c r="J84" s="239">
        <f t="shared" si="162"/>
        <v>-354187.58997250022</v>
      </c>
      <c r="K84" s="234">
        <f t="shared" si="162"/>
        <v>131681.15138687505</v>
      </c>
      <c r="L84" s="234">
        <f t="shared" si="162"/>
        <v>131681.15138687505</v>
      </c>
      <c r="M84" s="234">
        <f t="shared" si="162"/>
        <v>131681.15138687505</v>
      </c>
      <c r="N84" s="234">
        <f t="shared" si="162"/>
        <v>131681.15138687505</v>
      </c>
      <c r="O84" s="239">
        <f t="shared" si="162"/>
        <v>526724.60554750019</v>
      </c>
      <c r="P84" s="234">
        <f t="shared" si="162"/>
        <v>125253.12002687504</v>
      </c>
      <c r="Q84" s="234">
        <f t="shared" si="162"/>
        <v>126237.10050687502</v>
      </c>
      <c r="R84" s="234">
        <f t="shared" si="162"/>
        <v>126237.10050687502</v>
      </c>
      <c r="S84" s="234">
        <f t="shared" si="162"/>
        <v>126237.10050687502</v>
      </c>
      <c r="T84" s="239">
        <f t="shared" si="162"/>
        <v>503964.42154750018</v>
      </c>
      <c r="U84" s="234">
        <f t="shared" si="162"/>
        <v>115797.02158687499</v>
      </c>
      <c r="V84" s="234">
        <f t="shared" si="162"/>
        <v>116781.00206687499</v>
      </c>
      <c r="W84" s="234">
        <f t="shared" si="162"/>
        <v>116781.00206687499</v>
      </c>
      <c r="X84" s="234">
        <f t="shared" si="162"/>
        <v>116781.00206687499</v>
      </c>
      <c r="Y84" s="239">
        <f t="shared" si="162"/>
        <v>466140.02778749994</v>
      </c>
      <c r="Z84" s="234">
        <f t="shared" si="162"/>
        <v>105095.99820287498</v>
      </c>
      <c r="AA84" s="234">
        <f t="shared" si="162"/>
        <v>106116.53212287498</v>
      </c>
      <c r="AB84" s="234">
        <f t="shared" si="162"/>
        <v>106116.53212287498</v>
      </c>
      <c r="AC84" s="234">
        <f t="shared" si="162"/>
        <v>106116.53212287498</v>
      </c>
      <c r="AD84" s="239">
        <f t="shared" si="162"/>
        <v>423445.59457149985</v>
      </c>
      <c r="AE84" s="234">
        <f t="shared" si="162"/>
        <v>90459.206046074978</v>
      </c>
      <c r="AF84" s="234">
        <f t="shared" si="162"/>
        <v>91479.739966074951</v>
      </c>
      <c r="AG84" s="234">
        <f t="shared" si="162"/>
        <v>91479.739966074951</v>
      </c>
      <c r="AH84" s="234">
        <f t="shared" si="162"/>
        <v>91479.739966074951</v>
      </c>
      <c r="AI84" s="239">
        <f t="shared" si="162"/>
        <v>364898.42594429984</v>
      </c>
      <c r="AJ84" s="234">
        <f t="shared" si="162"/>
        <v>76292.683489722956</v>
      </c>
      <c r="AK84" s="234">
        <f t="shared" si="162"/>
        <v>77354.755409722959</v>
      </c>
      <c r="AL84" s="234">
        <f t="shared" si="162"/>
        <v>77354.755409722959</v>
      </c>
      <c r="AM84" s="234">
        <f t="shared" si="162"/>
        <v>77354.755409722959</v>
      </c>
      <c r="AN84" s="243">
        <f t="shared" si="162"/>
        <v>308356.94971889176</v>
      </c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</row>
    <row r="85" spans="1:73" s="99" customFormat="1">
      <c r="A85" s="94"/>
      <c r="B85" s="93"/>
      <c r="C85" s="94"/>
      <c r="E85" s="110"/>
      <c r="H85" s="120">
        <v>0</v>
      </c>
      <c r="I85" s="120">
        <v>0</v>
      </c>
      <c r="J85" s="205">
        <v>0</v>
      </c>
      <c r="K85" s="120">
        <f t="shared" ref="K85:AN85" si="163">K84/K41</f>
        <v>0.6075766255341396</v>
      </c>
      <c r="L85" s="120">
        <f t="shared" si="163"/>
        <v>0.6075766255341396</v>
      </c>
      <c r="M85" s="120">
        <f t="shared" si="163"/>
        <v>0.6075766255341396</v>
      </c>
      <c r="N85" s="120">
        <f t="shared" si="163"/>
        <v>0.6075766255341396</v>
      </c>
      <c r="O85" s="205">
        <f t="shared" si="163"/>
        <v>0.6075766255341396</v>
      </c>
      <c r="P85" s="120">
        <f t="shared" si="163"/>
        <v>0.56718212476154051</v>
      </c>
      <c r="Q85" s="120">
        <f t="shared" si="163"/>
        <v>0.58080101452438471</v>
      </c>
      <c r="R85" s="120">
        <f t="shared" si="163"/>
        <v>0.58080101452438471</v>
      </c>
      <c r="S85" s="120">
        <f t="shared" si="163"/>
        <v>0.58080101452438471</v>
      </c>
      <c r="T85" s="205">
        <f t="shared" si="163"/>
        <v>0.5773555231316867</v>
      </c>
      <c r="U85" s="120">
        <f t="shared" si="163"/>
        <v>0.5332375641674435</v>
      </c>
      <c r="V85" s="120">
        <f t="shared" si="163"/>
        <v>0.54653724762064348</v>
      </c>
      <c r="W85" s="120">
        <f t="shared" si="163"/>
        <v>0.54653724762064348</v>
      </c>
      <c r="X85" s="120">
        <f t="shared" si="163"/>
        <v>0.54653724762064348</v>
      </c>
      <c r="Y85" s="205">
        <f t="shared" si="163"/>
        <v>0.54317183127818913</v>
      </c>
      <c r="Z85" s="120">
        <f t="shared" si="163"/>
        <v>0.4919431399683904</v>
      </c>
      <c r="AA85" s="120">
        <f t="shared" si="163"/>
        <v>0.50482754078021386</v>
      </c>
      <c r="AB85" s="120">
        <f t="shared" si="163"/>
        <v>0.50482754078021386</v>
      </c>
      <c r="AC85" s="120">
        <f t="shared" si="163"/>
        <v>0.50482754078021386</v>
      </c>
      <c r="AD85" s="218">
        <f t="shared" si="163"/>
        <v>0.50156717008918905</v>
      </c>
      <c r="AE85" s="120">
        <f t="shared" si="163"/>
        <v>0.43930045014343294</v>
      </c>
      <c r="AF85" s="120">
        <f t="shared" si="163"/>
        <v>0.45178397735250742</v>
      </c>
      <c r="AG85" s="120">
        <f t="shared" si="163"/>
        <v>0.45178397735250742</v>
      </c>
      <c r="AH85" s="120">
        <f t="shared" si="163"/>
        <v>0.45178397735250742</v>
      </c>
      <c r="AI85" s="218">
        <f t="shared" si="163"/>
        <v>0.44862360274076263</v>
      </c>
      <c r="AJ85" s="120">
        <f t="shared" si="163"/>
        <v>0.38071521478643644</v>
      </c>
      <c r="AK85" s="120">
        <f t="shared" si="163"/>
        <v>0.3926188587096896</v>
      </c>
      <c r="AL85" s="120">
        <f t="shared" si="163"/>
        <v>0.3926188587096896</v>
      </c>
      <c r="AM85" s="120">
        <f t="shared" si="163"/>
        <v>0.3926188587096896</v>
      </c>
      <c r="AN85" s="218">
        <f t="shared" si="163"/>
        <v>0.38960492784971035</v>
      </c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</row>
    <row r="86" spans="1:73" s="99" customFormat="1">
      <c r="A86" s="94"/>
      <c r="B86" s="93"/>
      <c r="C86" s="94"/>
      <c r="E86" s="110"/>
      <c r="J86" s="154"/>
      <c r="O86" s="154"/>
      <c r="T86" s="154"/>
      <c r="Y86" s="154"/>
      <c r="AD86" s="217"/>
      <c r="AI86" s="217"/>
      <c r="AN86" s="217"/>
    </row>
    <row r="87" spans="1:73" s="99" customFormat="1">
      <c r="A87" s="94"/>
      <c r="B87" s="93"/>
      <c r="C87" s="94"/>
      <c r="E87" s="110"/>
      <c r="J87" s="154"/>
      <c r="O87" s="154"/>
      <c r="T87" s="154"/>
      <c r="Y87" s="154"/>
      <c r="AD87" s="217"/>
      <c r="AI87" s="217"/>
      <c r="AN87" s="217"/>
    </row>
    <row r="102" spans="1:40" s="99" customFormat="1">
      <c r="A102" s="94"/>
      <c r="B102" s="93"/>
      <c r="C102" s="94"/>
      <c r="E102" s="110"/>
      <c r="J102" s="154"/>
      <c r="O102" s="154"/>
      <c r="T102" s="154"/>
      <c r="Y102" s="154"/>
      <c r="AD102" s="217"/>
      <c r="AI102" s="217"/>
      <c r="AN102" s="217"/>
    </row>
    <row r="103" spans="1:40" s="99" customFormat="1">
      <c r="A103" s="94"/>
      <c r="B103" s="93"/>
      <c r="C103" s="94"/>
      <c r="E103" s="110"/>
      <c r="J103" s="154"/>
      <c r="O103" s="154"/>
      <c r="T103" s="154"/>
      <c r="Y103" s="154"/>
      <c r="AD103" s="217"/>
      <c r="AI103" s="217"/>
      <c r="AN103" s="217"/>
    </row>
    <row r="104" spans="1:40" s="99" customFormat="1">
      <c r="A104" s="94"/>
      <c r="B104" s="93"/>
      <c r="E104" s="110"/>
      <c r="J104" s="154"/>
      <c r="O104" s="154"/>
      <c r="T104" s="154"/>
      <c r="Y104" s="154"/>
      <c r="AD104" s="217"/>
      <c r="AI104" s="217"/>
      <c r="AN104" s="217"/>
    </row>
    <row r="105" spans="1:40" s="99" customFormat="1">
      <c r="A105" s="94"/>
      <c r="B105" s="93"/>
      <c r="C105" s="100"/>
      <c r="E105" s="110"/>
      <c r="J105" s="154"/>
      <c r="O105" s="154"/>
      <c r="T105" s="154"/>
      <c r="Y105" s="154"/>
      <c r="AD105" s="217"/>
      <c r="AI105" s="217"/>
      <c r="AN105" s="217"/>
    </row>
    <row r="106" spans="1:40" s="99" customFormat="1">
      <c r="A106" s="94"/>
      <c r="B106" s="93"/>
      <c r="C106" s="94"/>
      <c r="E106" s="110"/>
      <c r="J106" s="154"/>
      <c r="O106" s="154"/>
      <c r="T106" s="154"/>
      <c r="Y106" s="154"/>
      <c r="AD106" s="217"/>
      <c r="AI106" s="217"/>
      <c r="AN106" s="217"/>
    </row>
    <row r="107" spans="1:40" s="99" customFormat="1">
      <c r="A107" s="94"/>
      <c r="B107" s="93"/>
      <c r="C107" s="94"/>
      <c r="E107" s="110"/>
      <c r="J107" s="154"/>
      <c r="O107" s="154"/>
      <c r="T107" s="154"/>
      <c r="Y107" s="154"/>
      <c r="AD107" s="217"/>
      <c r="AI107" s="217"/>
      <c r="AN107" s="217"/>
    </row>
    <row r="108" spans="1:40" s="99" customFormat="1">
      <c r="A108" s="94"/>
      <c r="B108" s="93"/>
      <c r="C108" s="94"/>
      <c r="E108" s="110"/>
      <c r="J108" s="154"/>
      <c r="O108" s="154"/>
      <c r="T108" s="154"/>
      <c r="Y108" s="154"/>
      <c r="AD108" s="217"/>
      <c r="AI108" s="217"/>
      <c r="AN108" s="217"/>
    </row>
    <row r="109" spans="1:40" s="99" customFormat="1">
      <c r="A109" s="94"/>
      <c r="B109" s="93"/>
      <c r="C109" s="94"/>
      <c r="E109" s="110"/>
      <c r="J109" s="154"/>
      <c r="O109" s="154"/>
      <c r="T109" s="154"/>
      <c r="Y109" s="154"/>
      <c r="AD109" s="217"/>
      <c r="AI109" s="217"/>
      <c r="AN109" s="217"/>
    </row>
  </sheetData>
  <pageMargins left="0" right="0" top="0" bottom="0" header="0" footer="0"/>
  <pageSetup paperSize="9" scale="17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B1" workbookViewId="0">
      <selection activeCell="D44" sqref="D44"/>
    </sheetView>
  </sheetViews>
  <sheetFormatPr baseColWidth="10" defaultColWidth="8.83203125" defaultRowHeight="14" outlineLevelRow="1" x14ac:dyDescent="0"/>
  <cols>
    <col min="1" max="1" width="3" style="4" hidden="1" customWidth="1"/>
    <col min="2" max="2" width="53.6640625" style="4" customWidth="1"/>
    <col min="3" max="3" width="10.6640625" style="4" customWidth="1"/>
    <col min="4" max="4" width="16.1640625" style="4" customWidth="1"/>
    <col min="5" max="5" width="18.1640625" style="4" customWidth="1"/>
    <col min="6" max="6" width="14.5" style="4" customWidth="1"/>
    <col min="7" max="7" width="19.5" style="4" customWidth="1"/>
    <col min="8" max="16384" width="8.83203125" style="4"/>
  </cols>
  <sheetData>
    <row r="1" spans="1:7" ht="20">
      <c r="B1" s="314" t="s">
        <v>203</v>
      </c>
    </row>
    <row r="2" spans="1:7" ht="15" thickBot="1">
      <c r="B2" s="349" t="s">
        <v>172</v>
      </c>
      <c r="C2" s="349"/>
      <c r="D2" s="349"/>
      <c r="E2" s="349"/>
      <c r="F2" s="349"/>
      <c r="G2" s="349"/>
    </row>
    <row r="3" spans="1:7" ht="24">
      <c r="A3" s="348"/>
      <c r="B3" s="362" t="s">
        <v>168</v>
      </c>
      <c r="C3" s="363" t="s">
        <v>167</v>
      </c>
      <c r="D3" s="364" t="s">
        <v>216</v>
      </c>
      <c r="E3" s="365" t="s">
        <v>166</v>
      </c>
      <c r="F3" s="365" t="s">
        <v>165</v>
      </c>
      <c r="G3" s="366" t="s">
        <v>164</v>
      </c>
    </row>
    <row r="4" spans="1:7">
      <c r="A4" s="342"/>
      <c r="B4" s="358" t="s">
        <v>163</v>
      </c>
      <c r="C4" s="359"/>
      <c r="D4" s="359"/>
      <c r="E4" s="357">
        <f>SUM(E5:E21)</f>
        <v>285409.36049999995</v>
      </c>
      <c r="F4" s="360">
        <v>161</v>
      </c>
      <c r="G4" s="361">
        <f>E4/F4</f>
        <v>1772.7289472049686</v>
      </c>
    </row>
    <row r="5" spans="1:7" hidden="1" outlineLevel="1">
      <c r="A5" s="342"/>
      <c r="B5" s="350" t="s">
        <v>217</v>
      </c>
      <c r="C5" s="343" t="s">
        <v>218</v>
      </c>
      <c r="D5" s="260" t="s">
        <v>219</v>
      </c>
      <c r="E5" s="262">
        <f>F5*G5</f>
        <v>9945.5999999999985</v>
      </c>
      <c r="F5" s="344">
        <v>0.7</v>
      </c>
      <c r="G5" s="351">
        <f>384*37</f>
        <v>14208</v>
      </c>
    </row>
    <row r="6" spans="1:7" hidden="1" outlineLevel="1">
      <c r="A6" s="342"/>
      <c r="B6" s="350" t="s">
        <v>220</v>
      </c>
      <c r="C6" s="343" t="s">
        <v>221</v>
      </c>
      <c r="D6" s="260" t="s">
        <v>219</v>
      </c>
      <c r="E6" s="262">
        <f t="shared" ref="E6:E21" si="0">F6*G6</f>
        <v>4896.7280000000001</v>
      </c>
      <c r="F6" s="344">
        <v>0.4</v>
      </c>
      <c r="G6" s="351">
        <f>330.86*37</f>
        <v>12241.82</v>
      </c>
    </row>
    <row r="7" spans="1:7" hidden="1" outlineLevel="1">
      <c r="A7" s="342"/>
      <c r="B7" s="350" t="s">
        <v>222</v>
      </c>
      <c r="C7" s="343" t="s">
        <v>223</v>
      </c>
      <c r="D7" s="260" t="s">
        <v>219</v>
      </c>
      <c r="E7" s="262">
        <f t="shared" si="0"/>
        <v>7230.8175000000001</v>
      </c>
      <c r="F7" s="344">
        <v>0.75</v>
      </c>
      <c r="G7" s="351">
        <f>260.57*37</f>
        <v>9641.09</v>
      </c>
    </row>
    <row r="8" spans="1:7" hidden="1" outlineLevel="1">
      <c r="A8" s="342"/>
      <c r="B8" s="350" t="s">
        <v>224</v>
      </c>
      <c r="C8" s="343" t="s">
        <v>225</v>
      </c>
      <c r="D8" s="260" t="s">
        <v>219</v>
      </c>
      <c r="E8" s="262">
        <f t="shared" si="0"/>
        <v>13910.334999999999</v>
      </c>
      <c r="F8" s="344">
        <v>1.7</v>
      </c>
      <c r="G8" s="351">
        <f>221.15*37</f>
        <v>8182.55</v>
      </c>
    </row>
    <row r="9" spans="1:7" hidden="1" outlineLevel="1">
      <c r="A9" s="342"/>
      <c r="B9" s="350" t="s">
        <v>226</v>
      </c>
      <c r="C9" s="343" t="s">
        <v>227</v>
      </c>
      <c r="D9" s="260" t="s">
        <v>219</v>
      </c>
      <c r="E9" s="262">
        <f t="shared" si="0"/>
        <v>9620</v>
      </c>
      <c r="F9" s="344">
        <v>100</v>
      </c>
      <c r="G9" s="351">
        <f>2.6*37</f>
        <v>96.2</v>
      </c>
    </row>
    <row r="10" spans="1:7" ht="16.5" hidden="1" customHeight="1" outlineLevel="1">
      <c r="A10" s="342"/>
      <c r="B10" s="352" t="s">
        <v>228</v>
      </c>
      <c r="C10" s="343" t="s">
        <v>229</v>
      </c>
      <c r="D10" s="260" t="s">
        <v>219</v>
      </c>
      <c r="E10" s="262">
        <f t="shared" si="0"/>
        <v>25234</v>
      </c>
      <c r="F10" s="344">
        <v>200</v>
      </c>
      <c r="G10" s="351">
        <f>3.41*37</f>
        <v>126.17</v>
      </c>
    </row>
    <row r="11" spans="1:7" hidden="1" outlineLevel="1">
      <c r="A11" s="342"/>
      <c r="B11" s="353" t="s">
        <v>230</v>
      </c>
      <c r="C11" s="343" t="s">
        <v>231</v>
      </c>
      <c r="D11" s="260" t="s">
        <v>232</v>
      </c>
      <c r="E11" s="262">
        <f t="shared" si="0"/>
        <v>43547.520000000004</v>
      </c>
      <c r="F11" s="344">
        <v>24</v>
      </c>
      <c r="G11" s="351">
        <f>49.04*37</f>
        <v>1814.48</v>
      </c>
    </row>
    <row r="12" spans="1:7" hidden="1" outlineLevel="1">
      <c r="A12" s="342"/>
      <c r="B12" s="353" t="s">
        <v>233</v>
      </c>
      <c r="C12" s="343" t="s">
        <v>234</v>
      </c>
      <c r="D12" s="260" t="s">
        <v>232</v>
      </c>
      <c r="E12" s="262">
        <f t="shared" si="0"/>
        <v>23836.14</v>
      </c>
      <c r="F12" s="344">
        <v>27</v>
      </c>
      <c r="G12" s="351">
        <f>23.86*37</f>
        <v>882.81999999999994</v>
      </c>
    </row>
    <row r="13" spans="1:7" hidden="1" outlineLevel="1">
      <c r="A13" s="342"/>
      <c r="B13" s="353" t="s">
        <v>235</v>
      </c>
      <c r="C13" s="343" t="s">
        <v>236</v>
      </c>
      <c r="D13" s="260" t="s">
        <v>232</v>
      </c>
      <c r="E13" s="262">
        <f t="shared" si="0"/>
        <v>3790.28</v>
      </c>
      <c r="F13" s="344">
        <v>52</v>
      </c>
      <c r="G13" s="351">
        <f>1.97*37</f>
        <v>72.89</v>
      </c>
    </row>
    <row r="14" spans="1:7" hidden="1" outlineLevel="1">
      <c r="A14" s="342"/>
      <c r="B14" s="353" t="s">
        <v>237</v>
      </c>
      <c r="C14" s="343" t="s">
        <v>238</v>
      </c>
      <c r="D14" s="260" t="s">
        <v>232</v>
      </c>
      <c r="E14" s="262">
        <f t="shared" si="0"/>
        <v>3668.92</v>
      </c>
      <c r="F14" s="344">
        <v>268</v>
      </c>
      <c r="G14" s="351">
        <f>0.37*37</f>
        <v>13.69</v>
      </c>
    </row>
    <row r="15" spans="1:7" hidden="1" outlineLevel="1">
      <c r="A15" s="342"/>
      <c r="B15" s="350" t="s">
        <v>239</v>
      </c>
      <c r="C15" s="343" t="s">
        <v>240</v>
      </c>
      <c r="D15" s="260" t="s">
        <v>232</v>
      </c>
      <c r="E15" s="262">
        <f t="shared" si="0"/>
        <v>6480.5500000000011</v>
      </c>
      <c r="F15" s="344">
        <v>5</v>
      </c>
      <c r="G15" s="351">
        <f>35.03*37</f>
        <v>1296.1100000000001</v>
      </c>
    </row>
    <row r="16" spans="1:7" hidden="1" outlineLevel="1">
      <c r="A16" s="342"/>
      <c r="B16" s="353" t="s">
        <v>241</v>
      </c>
      <c r="C16" s="343" t="s">
        <v>242</v>
      </c>
      <c r="D16" s="260" t="s">
        <v>232</v>
      </c>
      <c r="E16" s="262">
        <f t="shared" si="0"/>
        <v>1943.6100000000001</v>
      </c>
      <c r="F16" s="344">
        <v>3</v>
      </c>
      <c r="G16" s="351">
        <f>17.51*37</f>
        <v>647.87</v>
      </c>
    </row>
    <row r="17" spans="1:7" hidden="1" outlineLevel="1">
      <c r="A17" s="342"/>
      <c r="B17" s="353" t="s">
        <v>243</v>
      </c>
      <c r="C17" s="343" t="s">
        <v>244</v>
      </c>
      <c r="D17" s="260" t="s">
        <v>232</v>
      </c>
      <c r="E17" s="262">
        <f t="shared" si="0"/>
        <v>1416.3600000000001</v>
      </c>
      <c r="F17" s="344">
        <v>2</v>
      </c>
      <c r="G17" s="351">
        <f>19.14*37</f>
        <v>708.18000000000006</v>
      </c>
    </row>
    <row r="18" spans="1:7" hidden="1" outlineLevel="1">
      <c r="A18" s="342"/>
      <c r="B18" s="353" t="s">
        <v>245</v>
      </c>
      <c r="C18" s="343" t="s">
        <v>246</v>
      </c>
      <c r="D18" s="260" t="s">
        <v>232</v>
      </c>
      <c r="E18" s="262">
        <f t="shared" si="0"/>
        <v>193.14</v>
      </c>
      <c r="F18" s="344">
        <v>6</v>
      </c>
      <c r="G18" s="351">
        <f>0.87*37</f>
        <v>32.19</v>
      </c>
    </row>
    <row r="19" spans="1:7" hidden="1" outlineLevel="1">
      <c r="A19" s="342"/>
      <c r="B19" s="353" t="s">
        <v>247</v>
      </c>
      <c r="C19" s="343" t="s">
        <v>248</v>
      </c>
      <c r="D19" s="260" t="s">
        <v>232</v>
      </c>
      <c r="E19" s="262">
        <f t="shared" si="0"/>
        <v>32.56</v>
      </c>
      <c r="F19" s="344">
        <v>2</v>
      </c>
      <c r="G19" s="351">
        <f>0.44*37</f>
        <v>16.28</v>
      </c>
    </row>
    <row r="20" spans="1:7" hidden="1" outlineLevel="1">
      <c r="A20" s="342"/>
      <c r="B20" s="353" t="s">
        <v>249</v>
      </c>
      <c r="C20" s="343" t="s">
        <v>250</v>
      </c>
      <c r="D20" s="260" t="s">
        <v>232</v>
      </c>
      <c r="E20" s="262">
        <f t="shared" si="0"/>
        <v>1827.8</v>
      </c>
      <c r="F20" s="344">
        <v>26</v>
      </c>
      <c r="G20" s="351">
        <f>1.9*37</f>
        <v>70.3</v>
      </c>
    </row>
    <row r="21" spans="1:7" hidden="1" outlineLevel="1">
      <c r="A21" s="342"/>
      <c r="B21" s="353" t="s">
        <v>157</v>
      </c>
      <c r="C21" s="345" t="s">
        <v>251</v>
      </c>
      <c r="D21" s="346" t="s">
        <v>251</v>
      </c>
      <c r="E21" s="262">
        <f t="shared" si="0"/>
        <v>127835</v>
      </c>
      <c r="F21" s="347">
        <v>1</v>
      </c>
      <c r="G21" s="354">
        <f>(3195+260)*37</f>
        <v>127835</v>
      </c>
    </row>
    <row r="22" spans="1:7" collapsed="1">
      <c r="A22" s="342"/>
      <c r="B22" s="358" t="s">
        <v>252</v>
      </c>
      <c r="C22" s="359"/>
      <c r="D22" s="359"/>
      <c r="E22" s="357">
        <f>SUM(E23:E33)</f>
        <v>228714.25</v>
      </c>
      <c r="F22" s="360">
        <v>161</v>
      </c>
      <c r="G22" s="361">
        <f t="shared" ref="G22" si="1">E22/F22</f>
        <v>1420.5854037267081</v>
      </c>
    </row>
    <row r="23" spans="1:7" hidden="1" outlineLevel="1">
      <c r="A23" s="342"/>
      <c r="B23" s="350" t="s">
        <v>253</v>
      </c>
      <c r="C23" s="343"/>
      <c r="D23" s="260" t="s">
        <v>232</v>
      </c>
      <c r="E23" s="262">
        <f>G23*F23</f>
        <v>65000</v>
      </c>
      <c r="F23" s="344">
        <v>1</v>
      </c>
      <c r="G23" s="351">
        <f>65000</f>
        <v>65000</v>
      </c>
    </row>
    <row r="24" spans="1:7" hidden="1" outlineLevel="1">
      <c r="A24" s="342"/>
      <c r="B24" s="353" t="s">
        <v>254</v>
      </c>
      <c r="C24" s="343" t="s">
        <v>255</v>
      </c>
      <c r="D24" s="260" t="s">
        <v>232</v>
      </c>
      <c r="E24" s="262">
        <f t="shared" ref="E24:E33" si="2">G24*F24</f>
        <v>16650</v>
      </c>
      <c r="F24" s="344">
        <f>1</f>
        <v>1</v>
      </c>
      <c r="G24" s="351">
        <f>450*37</f>
        <v>16650</v>
      </c>
    </row>
    <row r="25" spans="1:7" hidden="1" outlineLevel="1">
      <c r="A25" s="342"/>
      <c r="B25" s="353" t="s">
        <v>256</v>
      </c>
      <c r="C25" s="343" t="s">
        <v>257</v>
      </c>
      <c r="D25" s="260" t="s">
        <v>232</v>
      </c>
      <c r="E25" s="262">
        <f t="shared" si="2"/>
        <v>16664.8</v>
      </c>
      <c r="F25" s="344">
        <f>4</f>
        <v>4</v>
      </c>
      <c r="G25" s="351">
        <f>112.6*37</f>
        <v>4166.2</v>
      </c>
    </row>
    <row r="26" spans="1:7" hidden="1" outlineLevel="1">
      <c r="A26" s="342"/>
      <c r="B26" s="353" t="s">
        <v>258</v>
      </c>
      <c r="C26" s="343" t="s">
        <v>259</v>
      </c>
      <c r="D26" s="260" t="s">
        <v>232</v>
      </c>
      <c r="E26" s="262">
        <f t="shared" si="2"/>
        <v>512.08000000000004</v>
      </c>
      <c r="F26" s="344">
        <v>1</v>
      </c>
      <c r="G26" s="351">
        <f>13.84*37</f>
        <v>512.08000000000004</v>
      </c>
    </row>
    <row r="27" spans="1:7" hidden="1" outlineLevel="1">
      <c r="A27" s="342"/>
      <c r="B27" s="353" t="s">
        <v>260</v>
      </c>
      <c r="C27" s="343" t="s">
        <v>261</v>
      </c>
      <c r="D27" s="260" t="s">
        <v>262</v>
      </c>
      <c r="E27" s="262">
        <f t="shared" si="2"/>
        <v>74</v>
      </c>
      <c r="F27" s="344">
        <v>2</v>
      </c>
      <c r="G27" s="351">
        <f>1*37</f>
        <v>37</v>
      </c>
    </row>
    <row r="28" spans="1:7" hidden="1" outlineLevel="1">
      <c r="A28" s="342"/>
      <c r="B28" s="350" t="s">
        <v>263</v>
      </c>
      <c r="C28" s="343" t="s">
        <v>264</v>
      </c>
      <c r="D28" s="260"/>
      <c r="E28" s="262">
        <f t="shared" si="2"/>
        <v>164.28</v>
      </c>
      <c r="F28" s="344">
        <v>2</v>
      </c>
      <c r="G28" s="351">
        <f>2.22*37</f>
        <v>82.14</v>
      </c>
    </row>
    <row r="29" spans="1:7" hidden="1" outlineLevel="1">
      <c r="A29" s="342"/>
      <c r="B29" s="353" t="s">
        <v>265</v>
      </c>
      <c r="C29" s="343" t="s">
        <v>266</v>
      </c>
      <c r="D29" s="260" t="s">
        <v>267</v>
      </c>
      <c r="E29" s="262">
        <f t="shared" si="2"/>
        <v>1467.79</v>
      </c>
      <c r="F29" s="344">
        <v>1</v>
      </c>
      <c r="G29" s="351">
        <f>39.67*37</f>
        <v>1467.79</v>
      </c>
    </row>
    <row r="30" spans="1:7" hidden="1" outlineLevel="1">
      <c r="A30" s="342"/>
      <c r="B30" s="353" t="s">
        <v>268</v>
      </c>
      <c r="C30" s="343" t="s">
        <v>269</v>
      </c>
      <c r="D30" s="260" t="s">
        <v>270</v>
      </c>
      <c r="E30" s="262">
        <f t="shared" si="2"/>
        <v>77409.84</v>
      </c>
      <c r="F30" s="344">
        <f>1+1</f>
        <v>2</v>
      </c>
      <c r="G30" s="351">
        <v>38704.92</v>
      </c>
    </row>
    <row r="31" spans="1:7" ht="16.5" hidden="1" customHeight="1" outlineLevel="1">
      <c r="A31" s="342"/>
      <c r="B31" s="352" t="s">
        <v>271</v>
      </c>
      <c r="C31" s="343" t="s">
        <v>272</v>
      </c>
      <c r="D31" s="260" t="s">
        <v>270</v>
      </c>
      <c r="E31" s="262">
        <f t="shared" si="2"/>
        <v>26316.809999999998</v>
      </c>
      <c r="F31" s="344">
        <v>13</v>
      </c>
      <c r="G31" s="351">
        <v>2024.37</v>
      </c>
    </row>
    <row r="32" spans="1:7" hidden="1" outlineLevel="1">
      <c r="A32" s="342"/>
      <c r="B32" s="353"/>
      <c r="C32" s="343"/>
      <c r="D32" s="260"/>
      <c r="E32" s="262">
        <f t="shared" si="2"/>
        <v>13799.89</v>
      </c>
      <c r="F32" s="344">
        <v>13</v>
      </c>
      <c r="G32" s="351">
        <f>28.69*37</f>
        <v>1061.53</v>
      </c>
    </row>
    <row r="33" spans="1:7" hidden="1" outlineLevel="1">
      <c r="A33" s="342"/>
      <c r="B33" s="353" t="s">
        <v>273</v>
      </c>
      <c r="C33" s="343" t="s">
        <v>274</v>
      </c>
      <c r="D33" s="260" t="s">
        <v>232</v>
      </c>
      <c r="E33" s="262">
        <f t="shared" si="2"/>
        <v>10654.76</v>
      </c>
      <c r="F33" s="344">
        <v>4</v>
      </c>
      <c r="G33" s="351">
        <v>2663.69</v>
      </c>
    </row>
    <row r="34" spans="1:7" collapsed="1">
      <c r="A34" s="342"/>
      <c r="B34" s="358" t="s">
        <v>173</v>
      </c>
      <c r="C34" s="359"/>
      <c r="D34" s="359"/>
      <c r="E34" s="357">
        <v>0</v>
      </c>
      <c r="F34" s="360"/>
      <c r="G34" s="361"/>
    </row>
    <row r="35" spans="1:7">
      <c r="A35" s="342"/>
      <c r="B35" s="358" t="s">
        <v>162</v>
      </c>
      <c r="C35" s="359"/>
      <c r="D35" s="359"/>
      <c r="E35" s="357">
        <v>0</v>
      </c>
      <c r="F35" s="360"/>
      <c r="G35" s="361"/>
    </row>
    <row r="36" spans="1:7">
      <c r="A36" s="342"/>
      <c r="B36" s="358" t="s">
        <v>161</v>
      </c>
      <c r="C36" s="359"/>
      <c r="D36" s="359"/>
      <c r="E36" s="357">
        <v>0</v>
      </c>
      <c r="F36" s="360"/>
      <c r="G36" s="361"/>
    </row>
    <row r="37" spans="1:7">
      <c r="A37" s="342"/>
      <c r="B37" s="358" t="s">
        <v>160</v>
      </c>
      <c r="C37" s="359"/>
      <c r="D37" s="359">
        <v>0.05</v>
      </c>
      <c r="E37" s="357">
        <f>D37*(E4+E22)</f>
        <v>25706.180525</v>
      </c>
      <c r="F37" s="360"/>
      <c r="G37" s="361"/>
    </row>
    <row r="38" spans="1:7">
      <c r="A38" s="342"/>
      <c r="B38" s="367" t="s">
        <v>159</v>
      </c>
      <c r="C38" s="368"/>
      <c r="D38" s="369"/>
      <c r="E38" s="370">
        <f>E4+E22+E37+E36</f>
        <v>539829.79102499993</v>
      </c>
      <c r="F38" s="371"/>
      <c r="G38" s="372"/>
    </row>
    <row r="39" spans="1:7">
      <c r="A39" s="342"/>
      <c r="B39" s="355" t="s">
        <v>158</v>
      </c>
      <c r="C39" s="356"/>
      <c r="D39" s="373"/>
      <c r="E39" s="357">
        <v>0</v>
      </c>
      <c r="F39" s="360"/>
      <c r="G39" s="374"/>
    </row>
    <row r="40" spans="1:7" ht="15" thickBot="1">
      <c r="A40" s="342"/>
      <c r="B40" s="355" t="s">
        <v>157</v>
      </c>
      <c r="C40" s="356"/>
      <c r="D40" s="373"/>
      <c r="E40" s="357">
        <f>G40*Допущения!C5</f>
        <v>0</v>
      </c>
      <c r="F40" s="360"/>
      <c r="G40" s="374"/>
    </row>
    <row r="41" spans="1:7" ht="16" thickBot="1">
      <c r="A41" s="342"/>
      <c r="B41" s="375" t="s">
        <v>156</v>
      </c>
      <c r="C41" s="376"/>
      <c r="D41" s="376"/>
      <c r="E41" s="377">
        <f>E38/1.18</f>
        <v>457482.87374999997</v>
      </c>
      <c r="F41" s="378"/>
      <c r="G41" s="379"/>
    </row>
    <row r="42" spans="1:7">
      <c r="A42" s="254"/>
      <c r="B42" s="254" t="s">
        <v>178</v>
      </c>
      <c r="C42" s="254"/>
      <c r="D42" s="254"/>
      <c r="E42" s="259">
        <f>E41/Допущения!C6</f>
        <v>2841.5085326086955</v>
      </c>
      <c r="F42" s="258"/>
      <c r="G42" s="252"/>
    </row>
    <row r="43" spans="1:7">
      <c r="A43" s="254"/>
      <c r="B43" s="254"/>
      <c r="C43" s="254"/>
      <c r="D43" s="254"/>
      <c r="E43" s="252"/>
      <c r="F43" s="258"/>
      <c r="G43" s="252"/>
    </row>
    <row r="44" spans="1:7" ht="20">
      <c r="A44" s="254"/>
      <c r="B44" s="314"/>
      <c r="C44" s="254"/>
      <c r="D44" s="254"/>
      <c r="E44" s="252"/>
      <c r="F44" s="258"/>
      <c r="G44" s="252"/>
    </row>
    <row r="45" spans="1:7">
      <c r="A45" s="254"/>
      <c r="B45" s="255"/>
      <c r="C45" s="254"/>
      <c r="D45" s="254"/>
      <c r="E45" s="259"/>
      <c r="F45" s="258"/>
      <c r="G45" s="252"/>
    </row>
    <row r="46" spans="1:7">
      <c r="A46" s="254"/>
      <c r="B46" s="255"/>
      <c r="C46" s="254"/>
      <c r="D46" s="254"/>
      <c r="E46" s="259"/>
      <c r="F46" s="258"/>
      <c r="G46" s="252"/>
    </row>
    <row r="47" spans="1:7">
      <c r="A47" s="254"/>
      <c r="B47" s="251"/>
      <c r="C47" s="254"/>
      <c r="D47" s="254"/>
      <c r="E47" s="259"/>
      <c r="F47" s="258"/>
      <c r="G47" s="252"/>
    </row>
    <row r="48" spans="1:7">
      <c r="A48" s="254"/>
      <c r="B48" s="251"/>
      <c r="C48" s="254"/>
      <c r="D48" s="254"/>
      <c r="E48" s="259"/>
      <c r="F48" s="258"/>
      <c r="G48" s="252"/>
    </row>
    <row r="49" spans="1:7">
      <c r="A49" s="254"/>
      <c r="B49" s="251"/>
      <c r="C49" s="254"/>
      <c r="D49" s="254"/>
      <c r="E49" s="259"/>
      <c r="F49" s="258"/>
      <c r="G49" s="252"/>
    </row>
    <row r="50" spans="1:7">
      <c r="A50" s="254"/>
      <c r="B50" s="251"/>
      <c r="C50" s="254"/>
      <c r="D50" s="254"/>
      <c r="E50" s="259"/>
      <c r="F50" s="258"/>
      <c r="G50" s="252"/>
    </row>
    <row r="51" spans="1:7">
      <c r="A51" s="254"/>
      <c r="B51" s="251"/>
      <c r="C51" s="254"/>
      <c r="D51" s="254"/>
      <c r="E51" s="259"/>
      <c r="F51" s="258"/>
      <c r="G51" s="252"/>
    </row>
    <row r="52" spans="1:7">
      <c r="A52" s="254"/>
      <c r="B52" s="251"/>
      <c r="C52" s="254"/>
      <c r="D52" s="254"/>
      <c r="E52" s="259"/>
      <c r="F52" s="258"/>
      <c r="G52" s="252"/>
    </row>
    <row r="53" spans="1:7">
      <c r="A53" s="254"/>
      <c r="B53" s="251"/>
      <c r="C53" s="254"/>
      <c r="D53" s="254"/>
      <c r="E53" s="259"/>
      <c r="F53" s="258"/>
      <c r="G53" s="252"/>
    </row>
    <row r="54" spans="1:7">
      <c r="A54" s="254"/>
      <c r="B54" s="251"/>
      <c r="C54" s="254"/>
      <c r="D54" s="254"/>
      <c r="E54" s="259"/>
      <c r="F54" s="258"/>
      <c r="G54" s="252"/>
    </row>
    <row r="55" spans="1:7">
      <c r="A55" s="254"/>
      <c r="B55" s="251"/>
      <c r="C55" s="254"/>
      <c r="D55" s="254"/>
      <c r="E55" s="259"/>
      <c r="F55" s="258"/>
      <c r="G55" s="252"/>
    </row>
    <row r="56" spans="1:7">
      <c r="A56" s="254"/>
      <c r="B56" s="251"/>
      <c r="C56" s="254"/>
      <c r="D56" s="254"/>
      <c r="E56" s="259"/>
      <c r="F56" s="258"/>
      <c r="G56" s="252"/>
    </row>
    <row r="57" spans="1:7">
      <c r="A57" s="254"/>
      <c r="B57" s="251"/>
      <c r="C57" s="254"/>
      <c r="D57" s="254"/>
      <c r="E57" s="259"/>
      <c r="F57" s="258"/>
      <c r="G57" s="252"/>
    </row>
    <row r="58" spans="1:7">
      <c r="A58" s="254"/>
      <c r="B58" s="251"/>
      <c r="C58" s="254"/>
      <c r="D58" s="254"/>
      <c r="E58" s="259"/>
      <c r="F58" s="258"/>
      <c r="G58" s="252"/>
    </row>
    <row r="59" spans="1:7">
      <c r="A59" s="254"/>
      <c r="B59" s="251"/>
      <c r="C59" s="254"/>
      <c r="D59" s="254"/>
      <c r="E59" s="259"/>
      <c r="F59" s="258"/>
      <c r="G59" s="252"/>
    </row>
    <row r="60" spans="1:7">
      <c r="A60" s="254"/>
      <c r="B60" s="251"/>
      <c r="C60" s="254"/>
      <c r="D60" s="254"/>
      <c r="E60" s="259"/>
      <c r="F60" s="258"/>
      <c r="G60" s="252"/>
    </row>
    <row r="61" spans="1:7">
      <c r="A61" s="254"/>
      <c r="B61" s="251"/>
      <c r="C61" s="254"/>
      <c r="D61" s="254"/>
      <c r="E61" s="259"/>
      <c r="F61" s="258"/>
      <c r="G61" s="252"/>
    </row>
    <row r="62" spans="1:7">
      <c r="A62" s="254"/>
      <c r="B62" s="251"/>
      <c r="C62" s="254"/>
      <c r="D62" s="254"/>
      <c r="E62" s="259"/>
      <c r="F62" s="258"/>
      <c r="G62" s="252"/>
    </row>
    <row r="63" spans="1:7">
      <c r="A63" s="254"/>
      <c r="B63" s="251"/>
      <c r="C63" s="254"/>
      <c r="D63" s="254"/>
      <c r="E63" s="259"/>
      <c r="F63" s="258"/>
      <c r="G63" s="252"/>
    </row>
    <row r="64" spans="1:7">
      <c r="A64" s="254"/>
      <c r="B64" s="251"/>
      <c r="C64" s="254"/>
      <c r="D64" s="254"/>
      <c r="E64" s="259"/>
      <c r="F64" s="258"/>
      <c r="G64" s="252"/>
    </row>
    <row r="65" spans="1:7">
      <c r="A65" s="254"/>
      <c r="B65" s="251"/>
      <c r="C65" s="254"/>
      <c r="D65" s="254"/>
      <c r="E65" s="259"/>
      <c r="F65" s="258"/>
      <c r="G65" s="252"/>
    </row>
    <row r="66" spans="1:7">
      <c r="A66" s="254"/>
      <c r="B66" s="251"/>
      <c r="C66" s="254"/>
      <c r="D66" s="254"/>
      <c r="E66" s="259"/>
      <c r="F66" s="258"/>
      <c r="G66" s="252"/>
    </row>
    <row r="67" spans="1:7">
      <c r="A67" s="254"/>
      <c r="B67" s="251"/>
      <c r="C67" s="254"/>
      <c r="D67" s="254"/>
      <c r="E67" s="259"/>
      <c r="F67" s="258"/>
      <c r="G67" s="252"/>
    </row>
    <row r="68" spans="1:7">
      <c r="A68" s="254"/>
      <c r="B68" s="251"/>
      <c r="C68" s="254"/>
      <c r="D68" s="254"/>
      <c r="E68" s="259"/>
      <c r="F68" s="258"/>
      <c r="G68" s="252"/>
    </row>
    <row r="69" spans="1:7">
      <c r="A69" s="254"/>
      <c r="B69" s="251"/>
      <c r="C69" s="254"/>
      <c r="D69" s="254"/>
      <c r="E69" s="259"/>
      <c r="F69" s="258"/>
      <c r="G69" s="252"/>
    </row>
    <row r="70" spans="1:7">
      <c r="A70" s="254"/>
      <c r="B70" s="251"/>
      <c r="C70" s="254"/>
      <c r="D70" s="254"/>
      <c r="E70" s="259"/>
      <c r="F70" s="258"/>
      <c r="G70" s="252"/>
    </row>
    <row r="71" spans="1:7">
      <c r="A71" s="254"/>
      <c r="B71" s="251"/>
      <c r="C71" s="254"/>
      <c r="D71" s="254"/>
      <c r="E71" s="259"/>
      <c r="F71" s="258"/>
      <c r="G71" s="252"/>
    </row>
    <row r="72" spans="1:7">
      <c r="A72" s="254"/>
      <c r="B72" s="251"/>
      <c r="C72" s="254"/>
      <c r="D72" s="254"/>
      <c r="E72" s="259"/>
      <c r="F72" s="258"/>
      <c r="G72" s="252"/>
    </row>
    <row r="73" spans="1:7">
      <c r="A73" s="254"/>
      <c r="B73" s="251"/>
      <c r="C73" s="254"/>
      <c r="D73" s="254"/>
      <c r="E73" s="259"/>
      <c r="F73" s="258"/>
      <c r="G73" s="252"/>
    </row>
    <row r="74" spans="1:7">
      <c r="A74" s="254"/>
      <c r="B74" s="251"/>
      <c r="C74" s="254"/>
      <c r="D74" s="254"/>
      <c r="E74" s="259"/>
      <c r="F74" s="258"/>
      <c r="G74" s="252"/>
    </row>
    <row r="75" spans="1:7">
      <c r="A75" s="254"/>
      <c r="B75" s="251"/>
      <c r="C75" s="254"/>
      <c r="D75" s="254"/>
      <c r="E75" s="259"/>
      <c r="F75" s="258"/>
      <c r="G75" s="252"/>
    </row>
    <row r="76" spans="1:7">
      <c r="A76" s="254"/>
      <c r="B76" s="251"/>
      <c r="C76" s="254"/>
      <c r="D76" s="254"/>
      <c r="E76" s="259"/>
      <c r="F76" s="258"/>
      <c r="G76" s="252"/>
    </row>
    <row r="77" spans="1:7">
      <c r="A77" s="254"/>
      <c r="B77" s="255"/>
      <c r="C77" s="254"/>
      <c r="D77" s="254"/>
      <c r="E77" s="259"/>
      <c r="F77" s="258"/>
      <c r="G77" s="252"/>
    </row>
    <row r="78" spans="1:7">
      <c r="A78" s="254"/>
      <c r="B78" s="255"/>
      <c r="C78" s="254"/>
      <c r="D78" s="254"/>
      <c r="E78" s="253"/>
      <c r="F78" s="252"/>
      <c r="G78" s="256"/>
    </row>
    <row r="79" spans="1:7">
      <c r="A79" s="254"/>
      <c r="B79" s="255"/>
      <c r="C79" s="254"/>
      <c r="D79" s="257"/>
      <c r="E79" s="253"/>
      <c r="F79" s="252"/>
      <c r="G79" s="256"/>
    </row>
    <row r="80" spans="1:7">
      <c r="A80" s="254"/>
      <c r="B80" s="255"/>
      <c r="C80" s="254"/>
      <c r="D80" s="257"/>
      <c r="E80" s="253"/>
      <c r="F80" s="252"/>
      <c r="G80" s="256"/>
    </row>
    <row r="81" spans="1:7">
      <c r="A81" s="254"/>
      <c r="B81" s="255"/>
      <c r="C81" s="254"/>
      <c r="D81" s="257"/>
      <c r="E81" s="253"/>
      <c r="F81" s="252"/>
      <c r="G81" s="256"/>
    </row>
    <row r="82" spans="1:7">
      <c r="A82" s="254"/>
      <c r="B82" s="255"/>
      <c r="C82" s="254"/>
      <c r="D82" s="257"/>
      <c r="E82" s="253"/>
      <c r="F82" s="252"/>
      <c r="G82" s="256"/>
    </row>
    <row r="83" spans="1:7">
      <c r="A83" s="254"/>
      <c r="B83" s="255"/>
      <c r="C83" s="254"/>
      <c r="D83" s="257"/>
      <c r="E83" s="253"/>
      <c r="F83" s="252"/>
      <c r="G83" s="256"/>
    </row>
    <row r="84" spans="1:7">
      <c r="A84" s="254"/>
      <c r="B84" s="255"/>
      <c r="C84" s="254"/>
      <c r="D84" s="257"/>
      <c r="E84" s="253"/>
      <c r="F84" s="252"/>
      <c r="G84" s="256"/>
    </row>
    <row r="85" spans="1:7">
      <c r="A85" s="254"/>
      <c r="B85" s="255"/>
      <c r="C85" s="254"/>
      <c r="D85" s="257"/>
      <c r="E85" s="253"/>
      <c r="F85" s="252"/>
      <c r="G85" s="256"/>
    </row>
    <row r="86" spans="1:7">
      <c r="A86" s="254"/>
      <c r="B86" s="255"/>
      <c r="C86" s="254"/>
      <c r="D86" s="257"/>
      <c r="E86" s="253"/>
      <c r="F86" s="252"/>
      <c r="G86" s="256"/>
    </row>
    <row r="87" spans="1:7">
      <c r="A87" s="254"/>
      <c r="B87" s="255"/>
      <c r="C87" s="254"/>
      <c r="D87" s="254"/>
      <c r="E87" s="253"/>
      <c r="F87" s="252"/>
      <c r="G87" s="252"/>
    </row>
    <row r="88" spans="1:7">
      <c r="A88" s="251"/>
      <c r="B88" s="251"/>
      <c r="C88" s="251"/>
      <c r="D88" s="251"/>
      <c r="E88" s="251"/>
      <c r="F88" s="251"/>
      <c r="G88" s="251"/>
    </row>
    <row r="89" spans="1:7" ht="15">
      <c r="B89" s="250"/>
      <c r="C89" s="249"/>
      <c r="D89" s="249"/>
      <c r="E89" s="248"/>
    </row>
    <row r="90" spans="1:7" ht="15">
      <c r="B90" s="250"/>
      <c r="C90" s="249"/>
      <c r="D90" s="249"/>
      <c r="E90" s="248"/>
    </row>
    <row r="91" spans="1:7" ht="15">
      <c r="B91" s="250"/>
      <c r="C91" s="249"/>
      <c r="D91" s="249"/>
      <c r="E91" s="248"/>
    </row>
    <row r="92" spans="1:7">
      <c r="C92" s="76"/>
      <c r="D92" s="74"/>
      <c r="E92" s="74"/>
      <c r="F92" s="74"/>
      <c r="G92" s="74"/>
    </row>
    <row r="93" spans="1:7">
      <c r="C93" s="247"/>
      <c r="D93" s="246"/>
      <c r="E93" s="245"/>
      <c r="F93" s="245"/>
      <c r="G93" s="246"/>
    </row>
    <row r="94" spans="1:7">
      <c r="C94" s="76"/>
      <c r="D94" s="245"/>
      <c r="E94" s="245"/>
      <c r="F94" s="245"/>
      <c r="G94" s="246"/>
    </row>
    <row r="95" spans="1:7">
      <c r="C95" s="74"/>
      <c r="D95" s="74"/>
      <c r="E95" s="74"/>
      <c r="F95" s="245"/>
    </row>
    <row r="96" spans="1:7">
      <c r="C96" s="74"/>
      <c r="D96" s="244"/>
      <c r="E96" s="74"/>
      <c r="F96" s="74"/>
    </row>
    <row r="97" spans="3:6">
      <c r="E97" s="74"/>
      <c r="F97" s="74"/>
    </row>
    <row r="98" spans="3:6">
      <c r="E98" s="74"/>
      <c r="F98" s="74"/>
    </row>
    <row r="99" spans="3:6">
      <c r="E99" s="74"/>
      <c r="F99" s="74"/>
    </row>
    <row r="100" spans="3:6">
      <c r="E100" s="74"/>
      <c r="F100" s="74"/>
    </row>
    <row r="101" spans="3:6">
      <c r="E101" s="74"/>
      <c r="F101" s="74"/>
    </row>
    <row r="102" spans="3:6">
      <c r="E102" s="74"/>
      <c r="F102" s="74"/>
    </row>
    <row r="103" spans="3:6">
      <c r="C103" s="74"/>
      <c r="D103" s="244"/>
      <c r="E103" s="74"/>
      <c r="F103" s="74"/>
    </row>
    <row r="104" spans="3:6">
      <c r="C104" s="74"/>
      <c r="D104" s="244"/>
      <c r="E104" s="74"/>
      <c r="F104" s="74"/>
    </row>
    <row r="105" spans="3:6">
      <c r="C105" s="74"/>
      <c r="D105" s="74"/>
      <c r="E105" s="74"/>
      <c r="F105" s="74"/>
    </row>
  </sheetData>
  <mergeCells count="1">
    <mergeCell ref="B2:G2"/>
  </mergeCells>
  <pageMargins left="0.16" right="0.35" top="0.28000000000000003" bottom="0.28999999999999998" header="0.3" footer="0.3"/>
  <pageSetup paperSize="9" orientation="landscape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zoomScale="85" zoomScaleNormal="85" zoomScalePageLayoutView="85" workbookViewId="0">
      <selection activeCell="A109" sqref="A109"/>
    </sheetView>
  </sheetViews>
  <sheetFormatPr baseColWidth="10" defaultColWidth="8.83203125" defaultRowHeight="14" outlineLevelRow="1" outlineLevelCol="1" x14ac:dyDescent="0"/>
  <cols>
    <col min="1" max="1" width="4" style="4" customWidth="1"/>
    <col min="2" max="2" width="13" style="64" customWidth="1"/>
    <col min="3" max="3" width="50" style="4" customWidth="1"/>
    <col min="4" max="4" width="11.5" style="4" customWidth="1" outlineLevel="1"/>
    <col min="5" max="5" width="12.5" style="4" customWidth="1" outlineLevel="1"/>
    <col min="6" max="6" width="10.5" style="4" customWidth="1" outlineLevel="1"/>
    <col min="7" max="7" width="12.5" style="4" customWidth="1" outlineLevel="1"/>
    <col min="8" max="8" width="9.5" style="4" customWidth="1" outlineLevel="1"/>
    <col min="9" max="10" width="10" style="4" customWidth="1" outlineLevel="1"/>
    <col min="11" max="11" width="11" style="4" customWidth="1" outlineLevel="1"/>
    <col min="12" max="12" width="12.83203125" style="4" customWidth="1" outlineLevel="1"/>
    <col min="13" max="13" width="12.33203125" style="4" customWidth="1" outlineLevel="1"/>
    <col min="14" max="14" width="11.6640625" style="4" customWidth="1" outlineLevel="1"/>
    <col min="15" max="15" width="12.5" style="4" customWidth="1" outlineLevel="1"/>
    <col min="16" max="16" width="14.5" style="4" customWidth="1"/>
    <col min="17" max="16384" width="8.83203125" style="4"/>
  </cols>
  <sheetData>
    <row r="1" spans="1:16" ht="19" thickBot="1">
      <c r="A1" s="1"/>
      <c r="B1" s="57"/>
      <c r="C1" s="34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" thickBot="1">
      <c r="A2" s="1"/>
      <c r="B2" s="58" t="s">
        <v>1</v>
      </c>
      <c r="C2" s="40" t="s">
        <v>2</v>
      </c>
      <c r="D2" s="42">
        <v>41640</v>
      </c>
      <c r="E2" s="43">
        <v>41641</v>
      </c>
      <c r="F2" s="43">
        <v>41642</v>
      </c>
      <c r="G2" s="43">
        <v>41643</v>
      </c>
      <c r="H2" s="43">
        <v>41644</v>
      </c>
      <c r="I2" s="43">
        <v>41645</v>
      </c>
      <c r="J2" s="43">
        <v>41646</v>
      </c>
      <c r="K2" s="43">
        <v>41647</v>
      </c>
      <c r="L2" s="43">
        <v>41648</v>
      </c>
      <c r="M2" s="43">
        <v>41649</v>
      </c>
      <c r="N2" s="43">
        <v>41650</v>
      </c>
      <c r="O2" s="44">
        <v>41651</v>
      </c>
      <c r="P2" s="39" t="s">
        <v>52</v>
      </c>
    </row>
    <row r="3" spans="1:16" ht="15" thickBot="1">
      <c r="A3" s="1"/>
      <c r="B3" s="37" t="s">
        <v>3</v>
      </c>
      <c r="C3" s="36"/>
      <c r="D3" s="41">
        <f>SUM(D4:D15)</f>
        <v>0</v>
      </c>
      <c r="E3" s="41">
        <f t="shared" ref="E3:O3" si="0">SUM(E4:E15)</f>
        <v>0</v>
      </c>
      <c r="F3" s="41">
        <f t="shared" si="0"/>
        <v>0</v>
      </c>
      <c r="G3" s="41">
        <f t="shared" si="0"/>
        <v>0</v>
      </c>
      <c r="H3" s="41">
        <f t="shared" si="0"/>
        <v>0</v>
      </c>
      <c r="I3" s="41">
        <f t="shared" si="0"/>
        <v>0</v>
      </c>
      <c r="J3" s="41">
        <f t="shared" si="0"/>
        <v>0</v>
      </c>
      <c r="K3" s="41">
        <f t="shared" si="0"/>
        <v>0</v>
      </c>
      <c r="L3" s="41">
        <f t="shared" si="0"/>
        <v>0</v>
      </c>
      <c r="M3" s="41">
        <f t="shared" si="0"/>
        <v>0</v>
      </c>
      <c r="N3" s="41">
        <f t="shared" si="0"/>
        <v>0</v>
      </c>
      <c r="O3" s="41">
        <f t="shared" si="0"/>
        <v>0</v>
      </c>
      <c r="P3" s="38">
        <f>O3+N3+M3+L3+K3+J3+I3+H3+G3+F3+E3+D3</f>
        <v>0</v>
      </c>
    </row>
    <row r="4" spans="1:16" ht="15" hidden="1" customHeight="1" outlineLevel="1">
      <c r="A4" s="1"/>
      <c r="B4" s="56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</row>
    <row r="5" spans="1:16" ht="15" hidden="1" customHeight="1" outlineLevel="1">
      <c r="A5" s="1"/>
      <c r="B5" s="56"/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8"/>
    </row>
    <row r="6" spans="1:16" ht="15" hidden="1" customHeight="1" outlineLevel="1">
      <c r="A6" s="1"/>
      <c r="B6" s="56"/>
      <c r="C6" s="5" t="s">
        <v>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/>
    </row>
    <row r="7" spans="1:16" ht="15" hidden="1" customHeight="1" outlineLevel="1">
      <c r="A7" s="1"/>
      <c r="B7" s="56"/>
      <c r="C7" s="5" t="s">
        <v>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8"/>
    </row>
    <row r="8" spans="1:16" ht="15" hidden="1" customHeight="1" outlineLevel="1">
      <c r="A8" s="1"/>
      <c r="B8" s="56"/>
      <c r="C8" s="5" t="s">
        <v>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"/>
    </row>
    <row r="9" spans="1:16" ht="15" hidden="1" customHeight="1" outlineLevel="1">
      <c r="A9" s="2"/>
      <c r="B9" s="56"/>
      <c r="C9" s="5" t="s">
        <v>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"/>
    </row>
    <row r="10" spans="1:16" ht="15" hidden="1" customHeight="1" outlineLevel="1">
      <c r="A10" s="2"/>
      <c r="B10" s="56"/>
      <c r="C10" s="5" t="s">
        <v>10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"/>
    </row>
    <row r="11" spans="1:16" ht="15" hidden="1" customHeight="1" outlineLevel="1">
      <c r="A11" s="2"/>
      <c r="B11" s="56"/>
      <c r="C11" s="5" t="s">
        <v>11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/>
    </row>
    <row r="12" spans="1:16" ht="15" hidden="1" customHeight="1" outlineLevel="1">
      <c r="A12" s="2"/>
      <c r="B12" s="56"/>
      <c r="C12" s="5" t="s">
        <v>12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8"/>
    </row>
    <row r="13" spans="1:16" ht="15" hidden="1" customHeight="1" outlineLevel="1">
      <c r="A13" s="9"/>
      <c r="B13" s="56"/>
      <c r="C13" s="5" t="s">
        <v>13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</row>
    <row r="14" spans="1:16" ht="15" hidden="1" customHeight="1" outlineLevel="1">
      <c r="A14" s="9"/>
      <c r="B14" s="56"/>
      <c r="C14" s="10" t="s">
        <v>14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8"/>
    </row>
    <row r="15" spans="1:16" ht="16" hidden="1" customHeight="1" outlineLevel="1" thickBot="1">
      <c r="A15" s="9"/>
      <c r="B15" s="65"/>
      <c r="C15" s="13" t="s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6"/>
    </row>
    <row r="16" spans="1:16" ht="15" collapsed="1" thickBot="1">
      <c r="A16" s="1"/>
      <c r="B16" s="37" t="s">
        <v>16</v>
      </c>
      <c r="C16" s="45"/>
      <c r="D16" s="47">
        <f>SUM(D17:D34)</f>
        <v>0</v>
      </c>
      <c r="E16" s="48">
        <f t="shared" ref="E16:O16" si="1">SUM(E17:E34)</f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8">
        <f t="shared" si="1"/>
        <v>0</v>
      </c>
      <c r="M16" s="48">
        <f t="shared" si="1"/>
        <v>0</v>
      </c>
      <c r="N16" s="48">
        <f t="shared" si="1"/>
        <v>0</v>
      </c>
      <c r="O16" s="49">
        <f t="shared" si="1"/>
        <v>0</v>
      </c>
      <c r="P16" s="55">
        <f>O16+N16+M16+L16+K16+J16+I16+H16+G16+F16+E16+D16</f>
        <v>0</v>
      </c>
    </row>
    <row r="17" spans="1:16" ht="15" hidden="1" customHeight="1" outlineLevel="1">
      <c r="A17" s="17"/>
      <c r="B17" s="56"/>
      <c r="C17" s="46" t="s">
        <v>17</v>
      </c>
      <c r="D17" s="50">
        <f t="shared" ref="D17:O17" si="2">35000*D107</f>
        <v>0</v>
      </c>
      <c r="E17" s="6">
        <f t="shared" si="2"/>
        <v>0</v>
      </c>
      <c r="F17" s="6">
        <f t="shared" si="2"/>
        <v>0</v>
      </c>
      <c r="G17" s="6">
        <f t="shared" si="2"/>
        <v>0</v>
      </c>
      <c r="H17" s="6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51">
        <f t="shared" si="2"/>
        <v>0</v>
      </c>
      <c r="P17" s="8">
        <f>O17+N17+M17+L17+K17+J17+I17+H17+G17+F17+E17+D17</f>
        <v>0</v>
      </c>
    </row>
    <row r="18" spans="1:16" ht="15" hidden="1" customHeight="1" outlineLevel="1">
      <c r="A18" s="17"/>
      <c r="B18" s="56"/>
      <c r="C18" s="46" t="s">
        <v>18</v>
      </c>
      <c r="D18" s="50">
        <f>20000*D108</f>
        <v>0</v>
      </c>
      <c r="E18" s="6">
        <f t="shared" ref="E18:O18" si="3">20000*E108</f>
        <v>0</v>
      </c>
      <c r="F18" s="6">
        <f t="shared" si="3"/>
        <v>0</v>
      </c>
      <c r="G18" s="6">
        <f t="shared" si="3"/>
        <v>0</v>
      </c>
      <c r="H18" s="6">
        <f t="shared" si="3"/>
        <v>0</v>
      </c>
      <c r="I18" s="6">
        <f t="shared" si="3"/>
        <v>0</v>
      </c>
      <c r="J18" s="6">
        <f t="shared" si="3"/>
        <v>0</v>
      </c>
      <c r="K18" s="6">
        <f t="shared" si="3"/>
        <v>0</v>
      </c>
      <c r="L18" s="6">
        <f t="shared" si="3"/>
        <v>0</v>
      </c>
      <c r="M18" s="6">
        <f t="shared" si="3"/>
        <v>0</v>
      </c>
      <c r="N18" s="6">
        <f t="shared" si="3"/>
        <v>0</v>
      </c>
      <c r="O18" s="51">
        <f t="shared" si="3"/>
        <v>0</v>
      </c>
      <c r="P18" s="8">
        <f t="shared" ref="P18:P21" si="4">O18+N18+M18+L18+K18+J18+I18+H18+G18+F18+E18+D18</f>
        <v>0</v>
      </c>
    </row>
    <row r="19" spans="1:16" ht="15" hidden="1" customHeight="1" outlineLevel="1">
      <c r="A19" s="9"/>
      <c r="B19" s="56"/>
      <c r="C19" s="46" t="s">
        <v>19</v>
      </c>
      <c r="D19" s="50">
        <f>20000*D109</f>
        <v>0</v>
      </c>
      <c r="E19" s="6">
        <f t="shared" ref="E19:O19" si="5">20000*E109</f>
        <v>0</v>
      </c>
      <c r="F19" s="6">
        <f t="shared" si="5"/>
        <v>0</v>
      </c>
      <c r="G19" s="6">
        <f t="shared" si="5"/>
        <v>0</v>
      </c>
      <c r="H19" s="6">
        <f t="shared" si="5"/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6">
        <f t="shared" si="5"/>
        <v>0</v>
      </c>
      <c r="O19" s="51">
        <f t="shared" si="5"/>
        <v>0</v>
      </c>
      <c r="P19" s="8">
        <f t="shared" si="4"/>
        <v>0</v>
      </c>
    </row>
    <row r="20" spans="1:16" ht="15" hidden="1" customHeight="1" outlineLevel="1">
      <c r="A20" s="9"/>
      <c r="B20" s="56"/>
      <c r="C20" s="46" t="s">
        <v>20</v>
      </c>
      <c r="D20" s="50">
        <f t="shared" ref="D20:O21" si="6">20000*D110</f>
        <v>0</v>
      </c>
      <c r="E20" s="6">
        <f t="shared" si="6"/>
        <v>0</v>
      </c>
      <c r="F20" s="6">
        <f t="shared" si="6"/>
        <v>0</v>
      </c>
      <c r="G20" s="6">
        <f t="shared" si="6"/>
        <v>0</v>
      </c>
      <c r="H20" s="6">
        <f t="shared" si="6"/>
        <v>0</v>
      </c>
      <c r="I20" s="6">
        <f t="shared" si="6"/>
        <v>0</v>
      </c>
      <c r="J20" s="6">
        <f t="shared" si="6"/>
        <v>0</v>
      </c>
      <c r="K20" s="6">
        <f t="shared" si="6"/>
        <v>0</v>
      </c>
      <c r="L20" s="6">
        <f t="shared" si="6"/>
        <v>0</v>
      </c>
      <c r="M20" s="6">
        <f t="shared" si="6"/>
        <v>0</v>
      </c>
      <c r="N20" s="6">
        <f t="shared" si="6"/>
        <v>0</v>
      </c>
      <c r="O20" s="51">
        <f t="shared" si="6"/>
        <v>0</v>
      </c>
      <c r="P20" s="8">
        <f t="shared" si="4"/>
        <v>0</v>
      </c>
    </row>
    <row r="21" spans="1:16" ht="15" hidden="1" customHeight="1" outlineLevel="1">
      <c r="A21" s="9"/>
      <c r="B21" s="56"/>
      <c r="C21" s="46" t="s">
        <v>21</v>
      </c>
      <c r="D21" s="50">
        <f t="shared" si="6"/>
        <v>0</v>
      </c>
      <c r="E21" s="6">
        <f t="shared" si="6"/>
        <v>0</v>
      </c>
      <c r="F21" s="6">
        <f t="shared" si="6"/>
        <v>0</v>
      </c>
      <c r="G21" s="6">
        <f t="shared" si="6"/>
        <v>0</v>
      </c>
      <c r="H21" s="6">
        <f t="shared" si="6"/>
        <v>0</v>
      </c>
      <c r="I21" s="6">
        <f t="shared" si="6"/>
        <v>0</v>
      </c>
      <c r="J21" s="6">
        <f t="shared" si="6"/>
        <v>0</v>
      </c>
      <c r="K21" s="6">
        <f t="shared" si="6"/>
        <v>0</v>
      </c>
      <c r="L21" s="6">
        <f t="shared" si="6"/>
        <v>0</v>
      </c>
      <c r="M21" s="6">
        <f t="shared" si="6"/>
        <v>0</v>
      </c>
      <c r="N21" s="6">
        <f t="shared" si="6"/>
        <v>0</v>
      </c>
      <c r="O21" s="51">
        <f t="shared" si="6"/>
        <v>0</v>
      </c>
      <c r="P21" s="8">
        <f t="shared" si="4"/>
        <v>0</v>
      </c>
    </row>
    <row r="22" spans="1:16" ht="15" hidden="1" customHeight="1" outlineLevel="1">
      <c r="A22" s="9"/>
      <c r="B22" s="56"/>
      <c r="C22" s="46" t="s">
        <v>22</v>
      </c>
      <c r="D22" s="50"/>
      <c r="E22" s="6"/>
      <c r="F22" s="6"/>
      <c r="G22" s="6"/>
      <c r="H22" s="6"/>
      <c r="I22" s="6"/>
      <c r="J22" s="6"/>
      <c r="K22" s="6"/>
      <c r="L22" s="6"/>
      <c r="M22" s="6"/>
      <c r="N22" s="6"/>
      <c r="O22" s="51"/>
      <c r="P22" s="8"/>
    </row>
    <row r="23" spans="1:16" ht="15" hidden="1" customHeight="1" outlineLevel="1">
      <c r="A23" s="9"/>
      <c r="B23" s="56"/>
      <c r="C23" s="46" t="s">
        <v>12</v>
      </c>
      <c r="D23" s="50"/>
      <c r="E23" s="6"/>
      <c r="F23" s="6"/>
      <c r="G23" s="6"/>
      <c r="H23" s="6"/>
      <c r="I23" s="6"/>
      <c r="J23" s="6"/>
      <c r="K23" s="6"/>
      <c r="L23" s="6"/>
      <c r="M23" s="6"/>
      <c r="N23" s="6"/>
      <c r="O23" s="51"/>
      <c r="P23" s="8"/>
    </row>
    <row r="24" spans="1:16" ht="15" hidden="1" customHeight="1" outlineLevel="1">
      <c r="A24" s="9"/>
      <c r="B24" s="56"/>
      <c r="C24" s="46" t="s">
        <v>23</v>
      </c>
      <c r="D24" s="50"/>
      <c r="E24" s="6"/>
      <c r="F24" s="6"/>
      <c r="G24" s="6"/>
      <c r="H24" s="6"/>
      <c r="I24" s="6"/>
      <c r="J24" s="6"/>
      <c r="K24" s="6"/>
      <c r="L24" s="6"/>
      <c r="M24" s="6"/>
      <c r="N24" s="6"/>
      <c r="O24" s="51"/>
      <c r="P24" s="8"/>
    </row>
    <row r="25" spans="1:16" ht="15" hidden="1" customHeight="1" outlineLevel="1">
      <c r="A25" s="9"/>
      <c r="B25" s="56"/>
      <c r="C25" s="46" t="s">
        <v>24</v>
      </c>
      <c r="D25" s="50"/>
      <c r="E25" s="6"/>
      <c r="F25" s="6"/>
      <c r="G25" s="6"/>
      <c r="H25" s="6"/>
      <c r="I25" s="6"/>
      <c r="J25" s="6"/>
      <c r="K25" s="6"/>
      <c r="L25" s="6"/>
      <c r="M25" s="6"/>
      <c r="N25" s="6"/>
      <c r="O25" s="51"/>
      <c r="P25" s="8"/>
    </row>
    <row r="26" spans="1:16" ht="15" hidden="1" customHeight="1" outlineLevel="1">
      <c r="A26" s="9"/>
      <c r="B26" s="56"/>
      <c r="C26" s="46" t="s">
        <v>25</v>
      </c>
      <c r="D26" s="50"/>
      <c r="E26" s="6"/>
      <c r="F26" s="6"/>
      <c r="G26" s="6"/>
      <c r="H26" s="6"/>
      <c r="I26" s="6"/>
      <c r="J26" s="6"/>
      <c r="K26" s="6"/>
      <c r="L26" s="6"/>
      <c r="M26" s="6"/>
      <c r="N26" s="6"/>
      <c r="O26" s="51"/>
      <c r="P26" s="8"/>
    </row>
    <row r="27" spans="1:16" ht="15" hidden="1" customHeight="1" outlineLevel="1">
      <c r="A27" s="9"/>
      <c r="B27" s="56"/>
      <c r="C27" s="46" t="s">
        <v>26</v>
      </c>
      <c r="D27" s="50"/>
      <c r="E27" s="6"/>
      <c r="F27" s="6"/>
      <c r="G27" s="6"/>
      <c r="H27" s="6"/>
      <c r="I27" s="6"/>
      <c r="J27" s="6"/>
      <c r="K27" s="6"/>
      <c r="L27" s="6"/>
      <c r="M27" s="6"/>
      <c r="N27" s="6"/>
      <c r="O27" s="51"/>
      <c r="P27" s="8"/>
    </row>
    <row r="28" spans="1:16" ht="15" hidden="1" customHeight="1" outlineLevel="1">
      <c r="A28" s="9"/>
      <c r="B28" s="56"/>
      <c r="C28" s="46" t="s">
        <v>27</v>
      </c>
      <c r="D28" s="50"/>
      <c r="E28" s="6"/>
      <c r="F28" s="6"/>
      <c r="G28" s="6"/>
      <c r="H28" s="6"/>
      <c r="I28" s="6"/>
      <c r="J28" s="6"/>
      <c r="K28" s="6"/>
      <c r="L28" s="6"/>
      <c r="M28" s="6"/>
      <c r="N28" s="6"/>
      <c r="O28" s="51"/>
      <c r="P28" s="8"/>
    </row>
    <row r="29" spans="1:16" ht="15" hidden="1" customHeight="1" outlineLevel="1">
      <c r="A29" s="9"/>
      <c r="B29" s="56"/>
      <c r="C29" s="46" t="s">
        <v>28</v>
      </c>
      <c r="D29" s="50"/>
      <c r="E29" s="6"/>
      <c r="F29" s="6"/>
      <c r="G29" s="6"/>
      <c r="H29" s="6"/>
      <c r="I29" s="6"/>
      <c r="J29" s="6"/>
      <c r="K29" s="6"/>
      <c r="L29" s="6"/>
      <c r="M29" s="6"/>
      <c r="N29" s="6"/>
      <c r="O29" s="51"/>
      <c r="P29" s="8"/>
    </row>
    <row r="30" spans="1:16" ht="15" hidden="1" customHeight="1" outlineLevel="1">
      <c r="A30" s="17"/>
      <c r="B30" s="56"/>
      <c r="C30" s="46" t="s">
        <v>29</v>
      </c>
      <c r="D30" s="50"/>
      <c r="E30" s="6"/>
      <c r="F30" s="6"/>
      <c r="G30" s="6"/>
      <c r="H30" s="6"/>
      <c r="I30" s="6"/>
      <c r="J30" s="6"/>
      <c r="K30" s="6"/>
      <c r="L30" s="6"/>
      <c r="M30" s="6"/>
      <c r="N30" s="6"/>
      <c r="O30" s="51"/>
      <c r="P30" s="8"/>
    </row>
    <row r="31" spans="1:16" ht="15" hidden="1" customHeight="1" outlineLevel="1">
      <c r="A31" s="9"/>
      <c r="B31" s="56"/>
      <c r="C31" s="46" t="s">
        <v>30</v>
      </c>
      <c r="D31" s="50"/>
      <c r="E31" s="6"/>
      <c r="F31" s="6"/>
      <c r="G31" s="6"/>
      <c r="H31" s="6"/>
      <c r="I31" s="6"/>
      <c r="J31" s="6"/>
      <c r="K31" s="6"/>
      <c r="L31" s="6"/>
      <c r="M31" s="6"/>
      <c r="N31" s="6"/>
      <c r="O31" s="51"/>
      <c r="P31" s="8"/>
    </row>
    <row r="32" spans="1:16" ht="15" hidden="1" customHeight="1" outlineLevel="1">
      <c r="A32" s="9"/>
      <c r="B32" s="56"/>
      <c r="C32" s="46" t="s">
        <v>31</v>
      </c>
      <c r="D32" s="50"/>
      <c r="E32" s="6"/>
      <c r="F32" s="6"/>
      <c r="G32" s="6"/>
      <c r="H32" s="6"/>
      <c r="I32" s="6"/>
      <c r="J32" s="6"/>
      <c r="K32" s="6"/>
      <c r="L32" s="6"/>
      <c r="M32" s="6"/>
      <c r="N32" s="6"/>
      <c r="O32" s="51"/>
      <c r="P32" s="8"/>
    </row>
    <row r="33" spans="1:16" ht="15" hidden="1" customHeight="1" outlineLevel="1">
      <c r="A33" s="9"/>
      <c r="B33" s="56"/>
      <c r="C33" s="46" t="s">
        <v>32</v>
      </c>
      <c r="D33" s="50"/>
      <c r="E33" s="6"/>
      <c r="F33" s="6"/>
      <c r="G33" s="6"/>
      <c r="H33" s="6"/>
      <c r="I33" s="6"/>
      <c r="J33" s="6"/>
      <c r="K33" s="6"/>
      <c r="L33" s="6"/>
      <c r="M33" s="6"/>
      <c r="N33" s="6"/>
      <c r="O33" s="51"/>
      <c r="P33" s="8"/>
    </row>
    <row r="34" spans="1:16" ht="16" hidden="1" customHeight="1" outlineLevel="1" thickBot="1">
      <c r="A34" s="9"/>
      <c r="B34" s="65"/>
      <c r="C34" s="66" t="s">
        <v>33</v>
      </c>
      <c r="D34" s="5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54"/>
      <c r="P34" s="16"/>
    </row>
    <row r="35" spans="1:16" ht="15" collapsed="1" thickBot="1">
      <c r="A35" s="1"/>
      <c r="B35" s="37" t="s">
        <v>34</v>
      </c>
      <c r="C35" s="36"/>
      <c r="D35" s="48">
        <f>SUM(D36:D43)</f>
        <v>0</v>
      </c>
      <c r="E35" s="48">
        <f t="shared" ref="E35:O35" si="7">SUM(E36:E43)</f>
        <v>0</v>
      </c>
      <c r="F35" s="48">
        <f t="shared" si="7"/>
        <v>0</v>
      </c>
      <c r="G35" s="48">
        <f t="shared" si="7"/>
        <v>0</v>
      </c>
      <c r="H35" s="48">
        <f t="shared" si="7"/>
        <v>0</v>
      </c>
      <c r="I35" s="48">
        <f t="shared" si="7"/>
        <v>0</v>
      </c>
      <c r="J35" s="48">
        <f t="shared" si="7"/>
        <v>0</v>
      </c>
      <c r="K35" s="48">
        <f t="shared" si="7"/>
        <v>0</v>
      </c>
      <c r="L35" s="48">
        <f t="shared" si="7"/>
        <v>0</v>
      </c>
      <c r="M35" s="48">
        <f t="shared" si="7"/>
        <v>0</v>
      </c>
      <c r="N35" s="48">
        <f t="shared" si="7"/>
        <v>0</v>
      </c>
      <c r="O35" s="48">
        <f t="shared" si="7"/>
        <v>0</v>
      </c>
      <c r="P35" s="55">
        <f>O35+N35+M35+L35+K35+J35+I35+H35+G35+F35+E35+D35</f>
        <v>0</v>
      </c>
    </row>
    <row r="36" spans="1:16" ht="15" hidden="1" customHeight="1" outlineLevel="1">
      <c r="A36" s="9"/>
      <c r="B36" s="56"/>
      <c r="C36" s="5" t="s">
        <v>35</v>
      </c>
      <c r="D36" s="6">
        <f>30000*D126</f>
        <v>0</v>
      </c>
      <c r="E36" s="6">
        <f t="shared" ref="E36:O36" si="8">30000*E126</f>
        <v>0</v>
      </c>
      <c r="F36" s="6">
        <f t="shared" si="8"/>
        <v>0</v>
      </c>
      <c r="G36" s="6">
        <f t="shared" si="8"/>
        <v>0</v>
      </c>
      <c r="H36" s="6">
        <f t="shared" si="8"/>
        <v>0</v>
      </c>
      <c r="I36" s="6">
        <f t="shared" si="8"/>
        <v>0</v>
      </c>
      <c r="J36" s="6">
        <f t="shared" si="8"/>
        <v>0</v>
      </c>
      <c r="K36" s="6">
        <f t="shared" si="8"/>
        <v>0</v>
      </c>
      <c r="L36" s="6">
        <f t="shared" si="8"/>
        <v>0</v>
      </c>
      <c r="M36" s="6">
        <f t="shared" si="8"/>
        <v>0</v>
      </c>
      <c r="N36" s="6">
        <f t="shared" si="8"/>
        <v>0</v>
      </c>
      <c r="O36" s="6">
        <f t="shared" si="8"/>
        <v>0</v>
      </c>
      <c r="P36" s="8">
        <f>O36+N36+M36+L36+K36+J36+I36+H36+G36+F36+E36+D36</f>
        <v>0</v>
      </c>
    </row>
    <row r="37" spans="1:16" ht="15" hidden="1" customHeight="1" outlineLevel="1">
      <c r="A37" s="9"/>
      <c r="B37" s="56"/>
      <c r="C37" s="5" t="s">
        <v>36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8"/>
    </row>
    <row r="38" spans="1:16" ht="15" hidden="1" customHeight="1" outlineLevel="1">
      <c r="A38" s="9"/>
      <c r="B38" s="56"/>
      <c r="C38" s="5" t="s">
        <v>37</v>
      </c>
      <c r="D38" s="6">
        <f>30000*D128</f>
        <v>0</v>
      </c>
      <c r="E38" s="6">
        <f t="shared" ref="E38:O38" si="9">30000*E128</f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8">
        <f t="shared" ref="P38:P41" si="10">O38+N38+M38+L38+K38+J38+I38+H38+G38+F38+E38+D38</f>
        <v>0</v>
      </c>
    </row>
    <row r="39" spans="1:16" ht="15" hidden="1" customHeight="1" outlineLevel="1">
      <c r="A39" s="9"/>
      <c r="B39" s="56"/>
      <c r="C39" s="5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8"/>
    </row>
    <row r="40" spans="1:16" ht="15" hidden="1" customHeight="1" outlineLevel="1">
      <c r="A40" s="9"/>
      <c r="B40" s="56"/>
      <c r="C40" s="5" t="s">
        <v>39</v>
      </c>
      <c r="D40" s="6">
        <f t="shared" ref="D40:O40" si="11">35000*D130</f>
        <v>0</v>
      </c>
      <c r="E40" s="6">
        <f t="shared" si="11"/>
        <v>0</v>
      </c>
      <c r="F40" s="6">
        <f t="shared" si="11"/>
        <v>0</v>
      </c>
      <c r="G40" s="6">
        <f t="shared" si="11"/>
        <v>0</v>
      </c>
      <c r="H40" s="6">
        <f t="shared" si="11"/>
        <v>0</v>
      </c>
      <c r="I40" s="6">
        <f t="shared" si="11"/>
        <v>0</v>
      </c>
      <c r="J40" s="6">
        <f t="shared" si="11"/>
        <v>0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  <c r="O40" s="6">
        <f t="shared" si="11"/>
        <v>0</v>
      </c>
      <c r="P40" s="8">
        <f t="shared" si="10"/>
        <v>0</v>
      </c>
    </row>
    <row r="41" spans="1:16" ht="15" hidden="1" customHeight="1" outlineLevel="1">
      <c r="A41" s="9"/>
      <c r="B41" s="56"/>
      <c r="C41" s="10" t="s">
        <v>40</v>
      </c>
      <c r="D41" s="6">
        <f>25000*D131</f>
        <v>0</v>
      </c>
      <c r="E41" s="6">
        <f t="shared" ref="E41:O41" si="12">25000*E131</f>
        <v>0</v>
      </c>
      <c r="F41" s="6">
        <f t="shared" si="12"/>
        <v>0</v>
      </c>
      <c r="G41" s="6">
        <f t="shared" si="12"/>
        <v>0</v>
      </c>
      <c r="H41" s="6">
        <f t="shared" si="12"/>
        <v>0</v>
      </c>
      <c r="I41" s="6">
        <f t="shared" si="12"/>
        <v>0</v>
      </c>
      <c r="J41" s="6">
        <f t="shared" si="12"/>
        <v>0</v>
      </c>
      <c r="K41" s="6">
        <f t="shared" si="12"/>
        <v>0</v>
      </c>
      <c r="L41" s="6">
        <f t="shared" si="12"/>
        <v>0</v>
      </c>
      <c r="M41" s="6">
        <f t="shared" si="12"/>
        <v>0</v>
      </c>
      <c r="N41" s="6">
        <f t="shared" si="12"/>
        <v>0</v>
      </c>
      <c r="O41" s="6">
        <f t="shared" si="12"/>
        <v>0</v>
      </c>
      <c r="P41" s="18">
        <f t="shared" si="10"/>
        <v>0</v>
      </c>
    </row>
    <row r="42" spans="1:16" ht="15" hidden="1" customHeight="1" outlineLevel="1">
      <c r="A42" s="9"/>
      <c r="B42" s="56"/>
      <c r="C42" s="5" t="s">
        <v>41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8"/>
    </row>
    <row r="43" spans="1:16" ht="16" hidden="1" customHeight="1" outlineLevel="1" thickBot="1">
      <c r="A43" s="9"/>
      <c r="B43" s="65"/>
      <c r="C43" s="13" t="s">
        <v>33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6"/>
    </row>
    <row r="44" spans="1:16" s="71" customFormat="1" ht="15" collapsed="1" thickBot="1">
      <c r="A44" s="67"/>
      <c r="B44" s="68"/>
      <c r="C44" s="69" t="s">
        <v>42</v>
      </c>
      <c r="D44" s="70">
        <f>D3+D16+D35</f>
        <v>0</v>
      </c>
      <c r="E44" s="70">
        <f t="shared" ref="E44:P44" si="13">E3+E16+E35</f>
        <v>0</v>
      </c>
      <c r="F44" s="70">
        <f t="shared" si="13"/>
        <v>0</v>
      </c>
      <c r="G44" s="70">
        <f t="shared" si="13"/>
        <v>0</v>
      </c>
      <c r="H44" s="70">
        <f t="shared" si="13"/>
        <v>0</v>
      </c>
      <c r="I44" s="70">
        <f t="shared" si="13"/>
        <v>0</v>
      </c>
      <c r="J44" s="70">
        <f t="shared" si="13"/>
        <v>0</v>
      </c>
      <c r="K44" s="70">
        <f t="shared" si="13"/>
        <v>0</v>
      </c>
      <c r="L44" s="70">
        <f t="shared" si="13"/>
        <v>0</v>
      </c>
      <c r="M44" s="70">
        <f t="shared" si="13"/>
        <v>0</v>
      </c>
      <c r="N44" s="70">
        <f t="shared" si="13"/>
        <v>0</v>
      </c>
      <c r="O44" s="70">
        <f t="shared" si="13"/>
        <v>0</v>
      </c>
      <c r="P44" s="70">
        <f t="shared" si="13"/>
        <v>0</v>
      </c>
    </row>
    <row r="45" spans="1:16">
      <c r="A45" s="1"/>
      <c r="B45" s="5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9" thickBot="1">
      <c r="A46" s="1"/>
      <c r="B46" s="57"/>
      <c r="C46" s="34" t="s">
        <v>43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" thickBot="1">
      <c r="A47" s="1"/>
      <c r="B47" s="58" t="s">
        <v>1</v>
      </c>
      <c r="C47" s="40" t="s">
        <v>2</v>
      </c>
      <c r="D47" s="42">
        <v>41640</v>
      </c>
      <c r="E47" s="43">
        <v>41641</v>
      </c>
      <c r="F47" s="43">
        <v>41642</v>
      </c>
      <c r="G47" s="43">
        <v>41643</v>
      </c>
      <c r="H47" s="43">
        <v>41644</v>
      </c>
      <c r="I47" s="43">
        <v>41645</v>
      </c>
      <c r="J47" s="43">
        <v>41646</v>
      </c>
      <c r="K47" s="43">
        <v>41647</v>
      </c>
      <c r="L47" s="43">
        <v>41648</v>
      </c>
      <c r="M47" s="43">
        <v>41649</v>
      </c>
      <c r="N47" s="43">
        <v>41650</v>
      </c>
      <c r="O47" s="44">
        <v>41651</v>
      </c>
      <c r="P47" s="39" t="s">
        <v>52</v>
      </c>
    </row>
    <row r="48" spans="1:16" ht="15" thickBot="1">
      <c r="A48" s="1"/>
      <c r="B48" s="37" t="s">
        <v>3</v>
      </c>
      <c r="C48" s="36"/>
      <c r="D48" s="41">
        <f>SUM(D49:D60)</f>
        <v>0</v>
      </c>
      <c r="E48" s="41">
        <f t="shared" ref="E48" si="14">SUM(E49:E60)</f>
        <v>0</v>
      </c>
      <c r="F48" s="41">
        <f t="shared" ref="F48" si="15">SUM(F49:F60)</f>
        <v>0</v>
      </c>
      <c r="G48" s="41">
        <f t="shared" ref="G48" si="16">SUM(G49:G60)</f>
        <v>0</v>
      </c>
      <c r="H48" s="41">
        <f t="shared" ref="H48" si="17">SUM(H49:H60)</f>
        <v>0</v>
      </c>
      <c r="I48" s="41">
        <f t="shared" ref="I48" si="18">SUM(I49:I60)</f>
        <v>0</v>
      </c>
      <c r="J48" s="41">
        <f t="shared" ref="J48" si="19">SUM(J49:J60)</f>
        <v>0</v>
      </c>
      <c r="K48" s="41">
        <f t="shared" ref="K48" si="20">SUM(K49:K60)</f>
        <v>0</v>
      </c>
      <c r="L48" s="41">
        <f t="shared" ref="L48" si="21">SUM(L49:L60)</f>
        <v>0</v>
      </c>
      <c r="M48" s="41">
        <f t="shared" ref="M48" si="22">SUM(M49:M60)</f>
        <v>0</v>
      </c>
      <c r="N48" s="41">
        <f t="shared" ref="N48" si="23">SUM(N49:N60)</f>
        <v>0</v>
      </c>
      <c r="O48" s="41">
        <f t="shared" ref="O48" si="24">SUM(O49:O60)</f>
        <v>0</v>
      </c>
      <c r="P48" s="38">
        <f>O48+N48+M48+L48+K48+J48+I48+H48+G48+F48+E48+D48</f>
        <v>0</v>
      </c>
    </row>
    <row r="49" spans="1:16" ht="15" hidden="1" customHeight="1" outlineLevel="1">
      <c r="A49" s="1"/>
      <c r="B49" s="56"/>
      <c r="C49" s="5" t="s">
        <v>4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  <c r="P49" s="8"/>
    </row>
    <row r="50" spans="1:16" ht="15" hidden="1" customHeight="1" outlineLevel="1">
      <c r="A50" s="1"/>
      <c r="B50" s="56"/>
      <c r="C50" s="5" t="s">
        <v>5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  <c r="P50" s="8"/>
    </row>
    <row r="51" spans="1:16" ht="15" hidden="1" customHeight="1" outlineLevel="1">
      <c r="A51" s="1"/>
      <c r="B51" s="56"/>
      <c r="C51" s="5" t="s">
        <v>6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  <c r="P51" s="8"/>
    </row>
    <row r="52" spans="1:16" ht="15" hidden="1" customHeight="1" outlineLevel="1">
      <c r="A52" s="1"/>
      <c r="B52" s="56"/>
      <c r="C52" s="5" t="s">
        <v>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8"/>
    </row>
    <row r="53" spans="1:16" ht="15" hidden="1" customHeight="1" outlineLevel="1">
      <c r="A53" s="1"/>
      <c r="B53" s="56"/>
      <c r="C53" s="5" t="s">
        <v>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8"/>
    </row>
    <row r="54" spans="1:16" ht="15" hidden="1" customHeight="1" outlineLevel="1">
      <c r="A54" s="2"/>
      <c r="B54" s="56"/>
      <c r="C54" s="5" t="s">
        <v>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  <c r="P54" s="8"/>
    </row>
    <row r="55" spans="1:16" ht="15" hidden="1" customHeight="1" outlineLevel="1">
      <c r="A55" s="2"/>
      <c r="B55" s="56"/>
      <c r="C55" s="5" t="s">
        <v>10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  <c r="P55" s="8"/>
    </row>
    <row r="56" spans="1:16" ht="15" hidden="1" customHeight="1" outlineLevel="1">
      <c r="A56" s="2"/>
      <c r="B56" s="56"/>
      <c r="C56" s="5" t="s">
        <v>11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  <c r="P56" s="8"/>
    </row>
    <row r="57" spans="1:16" ht="15" hidden="1" customHeight="1" outlineLevel="1">
      <c r="A57" s="2"/>
      <c r="B57" s="56"/>
      <c r="C57" s="5" t="s">
        <v>12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  <c r="P57" s="8"/>
    </row>
    <row r="58" spans="1:16" ht="15" hidden="1" customHeight="1" outlineLevel="1">
      <c r="A58" s="9"/>
      <c r="B58" s="56"/>
      <c r="C58" s="5" t="s">
        <v>13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  <c r="P58" s="8"/>
    </row>
    <row r="59" spans="1:16" ht="15" hidden="1" customHeight="1" outlineLevel="1">
      <c r="A59" s="9"/>
      <c r="B59" s="56"/>
      <c r="C59" s="10" t="s">
        <v>14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2"/>
      <c r="P59" s="8"/>
    </row>
    <row r="60" spans="1:16" ht="16" hidden="1" customHeight="1" outlineLevel="1" thickBot="1">
      <c r="A60" s="9"/>
      <c r="B60" s="65"/>
      <c r="C60" s="13" t="s">
        <v>15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16"/>
    </row>
    <row r="61" spans="1:16" ht="15" collapsed="1" thickBot="1">
      <c r="A61" s="1"/>
      <c r="B61" s="37" t="s">
        <v>16</v>
      </c>
      <c r="C61" s="36"/>
      <c r="D61" s="48">
        <f>SUM(D62:D79)</f>
        <v>0</v>
      </c>
      <c r="E61" s="48">
        <f t="shared" ref="E61" si="25">SUM(E62:E79)</f>
        <v>0</v>
      </c>
      <c r="F61" s="48">
        <f t="shared" ref="F61" si="26">SUM(F62:F79)</f>
        <v>0</v>
      </c>
      <c r="G61" s="48">
        <f t="shared" ref="G61" si="27">SUM(G62:G79)</f>
        <v>0</v>
      </c>
      <c r="H61" s="48">
        <f t="shared" ref="H61" si="28">SUM(H62:H79)</f>
        <v>0</v>
      </c>
      <c r="I61" s="48">
        <f t="shared" ref="I61" si="29">SUM(I62:I79)</f>
        <v>0</v>
      </c>
      <c r="J61" s="48">
        <f t="shared" ref="J61" si="30">SUM(J62:J79)</f>
        <v>0</v>
      </c>
      <c r="K61" s="48">
        <f t="shared" ref="K61" si="31">SUM(K62:K79)</f>
        <v>0</v>
      </c>
      <c r="L61" s="48">
        <f t="shared" ref="L61" si="32">SUM(L62:L79)</f>
        <v>0</v>
      </c>
      <c r="M61" s="48">
        <f t="shared" ref="M61" si="33">SUM(M62:M79)</f>
        <v>0</v>
      </c>
      <c r="N61" s="48">
        <f t="shared" ref="N61" si="34">SUM(N62:N79)</f>
        <v>0</v>
      </c>
      <c r="O61" s="49">
        <f t="shared" ref="O61" si="35">SUM(O62:O79)</f>
        <v>0</v>
      </c>
      <c r="P61" s="55">
        <f>O61+N61+M61+L61+K61+J61+I61+H61+G61+F61+E61+D61</f>
        <v>0</v>
      </c>
    </row>
    <row r="62" spans="1:16" ht="15" hidden="1" customHeight="1" outlineLevel="1">
      <c r="A62" s="17"/>
      <c r="B62" s="56"/>
      <c r="C62" s="5" t="s">
        <v>17</v>
      </c>
      <c r="D62" s="6">
        <f t="shared" ref="D62:O62" si="36">D17*0.231</f>
        <v>0</v>
      </c>
      <c r="E62" s="6">
        <f t="shared" si="36"/>
        <v>0</v>
      </c>
      <c r="F62" s="6">
        <f t="shared" si="36"/>
        <v>0</v>
      </c>
      <c r="G62" s="6">
        <f t="shared" si="36"/>
        <v>0</v>
      </c>
      <c r="H62" s="6">
        <f t="shared" si="36"/>
        <v>0</v>
      </c>
      <c r="I62" s="6">
        <f t="shared" si="36"/>
        <v>0</v>
      </c>
      <c r="J62" s="6">
        <f t="shared" si="36"/>
        <v>0</v>
      </c>
      <c r="K62" s="6">
        <f t="shared" si="36"/>
        <v>0</v>
      </c>
      <c r="L62" s="6">
        <f t="shared" si="36"/>
        <v>0</v>
      </c>
      <c r="M62" s="6">
        <f t="shared" si="36"/>
        <v>0</v>
      </c>
      <c r="N62" s="6">
        <f t="shared" si="36"/>
        <v>0</v>
      </c>
      <c r="O62" s="51">
        <f t="shared" si="36"/>
        <v>0</v>
      </c>
      <c r="P62" s="8">
        <f t="shared" ref="P62:P86" si="37">O62+N62+M62+L62+K62+J62+I62+H62+G62+F62+E62+D62</f>
        <v>0</v>
      </c>
    </row>
    <row r="63" spans="1:16" ht="15" hidden="1" customHeight="1" outlineLevel="1">
      <c r="A63" s="17"/>
      <c r="B63" s="56"/>
      <c r="C63" s="5" t="s">
        <v>18</v>
      </c>
      <c r="D63" s="6">
        <f t="shared" ref="D63:O63" si="38">D18*0.34</f>
        <v>0</v>
      </c>
      <c r="E63" s="6">
        <f t="shared" si="38"/>
        <v>0</v>
      </c>
      <c r="F63" s="6">
        <f t="shared" si="38"/>
        <v>0</v>
      </c>
      <c r="G63" s="6">
        <f t="shared" si="38"/>
        <v>0</v>
      </c>
      <c r="H63" s="6">
        <f t="shared" si="38"/>
        <v>0</v>
      </c>
      <c r="I63" s="6">
        <f t="shared" si="38"/>
        <v>0</v>
      </c>
      <c r="J63" s="6">
        <f t="shared" si="38"/>
        <v>0</v>
      </c>
      <c r="K63" s="6">
        <f t="shared" si="38"/>
        <v>0</v>
      </c>
      <c r="L63" s="6">
        <f t="shared" si="38"/>
        <v>0</v>
      </c>
      <c r="M63" s="6">
        <f t="shared" si="38"/>
        <v>0</v>
      </c>
      <c r="N63" s="6">
        <f t="shared" si="38"/>
        <v>0</v>
      </c>
      <c r="O63" s="51">
        <f t="shared" si="38"/>
        <v>0</v>
      </c>
      <c r="P63" s="8">
        <f t="shared" si="37"/>
        <v>0</v>
      </c>
    </row>
    <row r="64" spans="1:16" ht="15" hidden="1" customHeight="1" outlineLevel="1">
      <c r="A64" s="9"/>
      <c r="B64" s="56"/>
      <c r="C64" s="5" t="s">
        <v>19</v>
      </c>
      <c r="D64" s="6">
        <f>D19*0.34</f>
        <v>0</v>
      </c>
      <c r="E64" s="6">
        <f t="shared" ref="E64:O64" si="39">E19*0.34</f>
        <v>0</v>
      </c>
      <c r="F64" s="6">
        <f t="shared" si="39"/>
        <v>0</v>
      </c>
      <c r="G64" s="6">
        <f t="shared" si="39"/>
        <v>0</v>
      </c>
      <c r="H64" s="6">
        <f t="shared" si="39"/>
        <v>0</v>
      </c>
      <c r="I64" s="6">
        <f t="shared" si="39"/>
        <v>0</v>
      </c>
      <c r="J64" s="6">
        <f t="shared" si="39"/>
        <v>0</v>
      </c>
      <c r="K64" s="6">
        <f t="shared" si="39"/>
        <v>0</v>
      </c>
      <c r="L64" s="6">
        <f t="shared" si="39"/>
        <v>0</v>
      </c>
      <c r="M64" s="6">
        <f t="shared" si="39"/>
        <v>0</v>
      </c>
      <c r="N64" s="6">
        <f t="shared" si="39"/>
        <v>0</v>
      </c>
      <c r="O64" s="6">
        <f t="shared" si="39"/>
        <v>0</v>
      </c>
      <c r="P64" s="8">
        <f t="shared" si="37"/>
        <v>0</v>
      </c>
    </row>
    <row r="65" spans="1:16" ht="15" hidden="1" customHeight="1" outlineLevel="1">
      <c r="A65" s="9"/>
      <c r="B65" s="56"/>
      <c r="C65" s="5" t="s">
        <v>20</v>
      </c>
      <c r="D65" s="6">
        <f t="shared" ref="D65:O65" si="40">D20*0.34</f>
        <v>0</v>
      </c>
      <c r="E65" s="6">
        <f t="shared" si="40"/>
        <v>0</v>
      </c>
      <c r="F65" s="6">
        <f t="shared" si="40"/>
        <v>0</v>
      </c>
      <c r="G65" s="6">
        <f t="shared" si="40"/>
        <v>0</v>
      </c>
      <c r="H65" s="6">
        <f t="shared" si="40"/>
        <v>0</v>
      </c>
      <c r="I65" s="6">
        <f t="shared" si="40"/>
        <v>0</v>
      </c>
      <c r="J65" s="6">
        <f t="shared" si="40"/>
        <v>0</v>
      </c>
      <c r="K65" s="6">
        <f t="shared" si="40"/>
        <v>0</v>
      </c>
      <c r="L65" s="6">
        <f t="shared" si="40"/>
        <v>0</v>
      </c>
      <c r="M65" s="6">
        <f t="shared" si="40"/>
        <v>0</v>
      </c>
      <c r="N65" s="6">
        <f t="shared" si="40"/>
        <v>0</v>
      </c>
      <c r="O65" s="6">
        <f t="shared" si="40"/>
        <v>0</v>
      </c>
      <c r="P65" s="8">
        <f t="shared" si="37"/>
        <v>0</v>
      </c>
    </row>
    <row r="66" spans="1:16" ht="15" hidden="1" customHeight="1" outlineLevel="1">
      <c r="A66" s="9"/>
      <c r="B66" s="56"/>
      <c r="C66" s="5" t="s">
        <v>21</v>
      </c>
      <c r="D66" s="6">
        <f t="shared" ref="D66:O66" si="41">D21*0.34</f>
        <v>0</v>
      </c>
      <c r="E66" s="6">
        <f t="shared" si="41"/>
        <v>0</v>
      </c>
      <c r="F66" s="6">
        <f t="shared" si="41"/>
        <v>0</v>
      </c>
      <c r="G66" s="6">
        <f t="shared" si="41"/>
        <v>0</v>
      </c>
      <c r="H66" s="6">
        <f t="shared" si="41"/>
        <v>0</v>
      </c>
      <c r="I66" s="6">
        <f t="shared" si="41"/>
        <v>0</v>
      </c>
      <c r="J66" s="6">
        <f t="shared" si="41"/>
        <v>0</v>
      </c>
      <c r="K66" s="6">
        <f t="shared" si="41"/>
        <v>0</v>
      </c>
      <c r="L66" s="6">
        <f t="shared" si="41"/>
        <v>0</v>
      </c>
      <c r="M66" s="6">
        <f t="shared" si="41"/>
        <v>0</v>
      </c>
      <c r="N66" s="6">
        <f t="shared" si="41"/>
        <v>0</v>
      </c>
      <c r="O66" s="6">
        <f t="shared" si="41"/>
        <v>0</v>
      </c>
      <c r="P66" s="8">
        <f t="shared" si="37"/>
        <v>0</v>
      </c>
    </row>
    <row r="67" spans="1:16" ht="15" hidden="1" customHeight="1" outlineLevel="1">
      <c r="A67" s="9"/>
      <c r="B67" s="56"/>
      <c r="C67" s="5" t="s">
        <v>22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51"/>
      <c r="P67" s="8"/>
    </row>
    <row r="68" spans="1:16" ht="15" hidden="1" customHeight="1" outlineLevel="1">
      <c r="A68" s="9"/>
      <c r="B68" s="56"/>
      <c r="C68" s="5" t="s">
        <v>12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51"/>
      <c r="P68" s="8"/>
    </row>
    <row r="69" spans="1:16" ht="15" hidden="1" customHeight="1" outlineLevel="1">
      <c r="A69" s="9"/>
      <c r="B69" s="56"/>
      <c r="C69" s="5" t="s">
        <v>23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51"/>
      <c r="P69" s="8"/>
    </row>
    <row r="70" spans="1:16" ht="15" hidden="1" customHeight="1" outlineLevel="1">
      <c r="A70" s="9"/>
      <c r="B70" s="56"/>
      <c r="C70" s="5" t="s">
        <v>24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51"/>
      <c r="P70" s="8"/>
    </row>
    <row r="71" spans="1:16" ht="15" hidden="1" customHeight="1" outlineLevel="1">
      <c r="A71" s="9"/>
      <c r="B71" s="56"/>
      <c r="C71" s="5" t="s">
        <v>25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52"/>
      <c r="P71" s="8"/>
    </row>
    <row r="72" spans="1:16" ht="15" hidden="1" customHeight="1" outlineLevel="1">
      <c r="A72" s="9"/>
      <c r="B72" s="56"/>
      <c r="C72" s="5" t="s">
        <v>26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52"/>
      <c r="P72" s="8"/>
    </row>
    <row r="73" spans="1:16" ht="15" hidden="1" customHeight="1" outlineLevel="1">
      <c r="A73" s="9"/>
      <c r="B73" s="56"/>
      <c r="C73" s="5" t="s">
        <v>27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52"/>
      <c r="P73" s="8"/>
    </row>
    <row r="74" spans="1:16" ht="15" hidden="1" customHeight="1" outlineLevel="1">
      <c r="A74" s="9"/>
      <c r="B74" s="56"/>
      <c r="C74" s="5" t="s">
        <v>28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52"/>
      <c r="P74" s="8"/>
    </row>
    <row r="75" spans="1:16" ht="15" hidden="1" customHeight="1" outlineLevel="1">
      <c r="A75" s="17"/>
      <c r="B75" s="56"/>
      <c r="C75" s="5" t="s">
        <v>29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51"/>
      <c r="P75" s="8"/>
    </row>
    <row r="76" spans="1:16" ht="15" hidden="1" customHeight="1" outlineLevel="1">
      <c r="A76" s="9"/>
      <c r="B76" s="56"/>
      <c r="C76" s="5" t="s">
        <v>30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51"/>
      <c r="P76" s="8"/>
    </row>
    <row r="77" spans="1:16" ht="15" hidden="1" customHeight="1" outlineLevel="1">
      <c r="A77" s="9"/>
      <c r="B77" s="56"/>
      <c r="C77" s="5" t="s">
        <v>31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51"/>
      <c r="P77" s="8"/>
    </row>
    <row r="78" spans="1:16" ht="15" hidden="1" customHeight="1" outlineLevel="1">
      <c r="A78" s="9"/>
      <c r="B78" s="56"/>
      <c r="C78" s="5" t="s">
        <v>32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52"/>
      <c r="P78" s="8"/>
    </row>
    <row r="79" spans="1:16" ht="16" hidden="1" customHeight="1" outlineLevel="1" thickBot="1">
      <c r="A79" s="9"/>
      <c r="B79" s="65"/>
      <c r="C79" s="13" t="s">
        <v>33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54"/>
      <c r="P79" s="16"/>
    </row>
    <row r="80" spans="1:16" ht="15" collapsed="1" thickBot="1">
      <c r="A80" s="1"/>
      <c r="B80" s="37" t="s">
        <v>34</v>
      </c>
      <c r="C80" s="36"/>
      <c r="D80" s="48">
        <f>SUM(D81:D88)</f>
        <v>0</v>
      </c>
      <c r="E80" s="48">
        <f t="shared" ref="E80" si="42">SUM(E81:E88)</f>
        <v>0</v>
      </c>
      <c r="F80" s="48">
        <f t="shared" ref="F80" si="43">SUM(F81:F88)</f>
        <v>0</v>
      </c>
      <c r="G80" s="48">
        <f t="shared" ref="G80" si="44">SUM(G81:G88)</f>
        <v>0</v>
      </c>
      <c r="H80" s="48">
        <f t="shared" ref="H80" si="45">SUM(H81:H88)</f>
        <v>0</v>
      </c>
      <c r="I80" s="48">
        <f t="shared" ref="I80" si="46">SUM(I81:I88)</f>
        <v>0</v>
      </c>
      <c r="J80" s="48">
        <f t="shared" ref="J80" si="47">SUM(J81:J88)</f>
        <v>0</v>
      </c>
      <c r="K80" s="48">
        <f t="shared" ref="K80" si="48">SUM(K81:K88)</f>
        <v>0</v>
      </c>
      <c r="L80" s="48">
        <f t="shared" ref="L80" si="49">SUM(L81:L88)</f>
        <v>0</v>
      </c>
      <c r="M80" s="48">
        <f t="shared" ref="M80" si="50">SUM(M81:M88)</f>
        <v>0</v>
      </c>
      <c r="N80" s="48">
        <f t="shared" ref="N80" si="51">SUM(N81:N88)</f>
        <v>0</v>
      </c>
      <c r="O80" s="48">
        <f t="shared" ref="O80" si="52">SUM(O81:O88)</f>
        <v>0</v>
      </c>
      <c r="P80" s="55">
        <f>O80+N80+M80+L80+K80+J80+I80+H80+G80+F80+E80+D80</f>
        <v>0</v>
      </c>
    </row>
    <row r="81" spans="1:16" ht="15" hidden="1" customHeight="1" outlineLevel="1">
      <c r="A81" s="9"/>
      <c r="B81" s="56"/>
      <c r="C81" s="5" t="s">
        <v>35</v>
      </c>
      <c r="D81" s="6">
        <f t="shared" ref="D81:O81" si="53">D36*0.34</f>
        <v>0</v>
      </c>
      <c r="E81" s="6">
        <f t="shared" si="53"/>
        <v>0</v>
      </c>
      <c r="F81" s="6">
        <f t="shared" si="53"/>
        <v>0</v>
      </c>
      <c r="G81" s="6">
        <f t="shared" si="53"/>
        <v>0</v>
      </c>
      <c r="H81" s="6">
        <f t="shared" si="53"/>
        <v>0</v>
      </c>
      <c r="I81" s="6">
        <f t="shared" si="53"/>
        <v>0</v>
      </c>
      <c r="J81" s="6">
        <f t="shared" si="53"/>
        <v>0</v>
      </c>
      <c r="K81" s="6">
        <f t="shared" si="53"/>
        <v>0</v>
      </c>
      <c r="L81" s="6">
        <f t="shared" si="53"/>
        <v>0</v>
      </c>
      <c r="M81" s="6">
        <f t="shared" si="53"/>
        <v>0</v>
      </c>
      <c r="N81" s="6">
        <f t="shared" si="53"/>
        <v>0</v>
      </c>
      <c r="O81" s="6">
        <f t="shared" si="53"/>
        <v>0</v>
      </c>
      <c r="P81" s="8">
        <f t="shared" si="37"/>
        <v>0</v>
      </c>
    </row>
    <row r="82" spans="1:16" ht="15" hidden="1" customHeight="1" outlineLevel="1">
      <c r="A82" s="9"/>
      <c r="B82" s="56"/>
      <c r="C82" s="5" t="s">
        <v>36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8"/>
    </row>
    <row r="83" spans="1:16" ht="15" hidden="1" customHeight="1" outlineLevel="1">
      <c r="A83" s="9"/>
      <c r="B83" s="56"/>
      <c r="C83" s="5" t="s">
        <v>37</v>
      </c>
      <c r="D83" s="6">
        <f>D38*0.34</f>
        <v>0</v>
      </c>
      <c r="E83" s="6">
        <f>E38*0.34</f>
        <v>0</v>
      </c>
      <c r="F83" s="6">
        <f>F38*0.34</f>
        <v>0</v>
      </c>
      <c r="G83" s="6">
        <f>G38*0.34</f>
        <v>0</v>
      </c>
      <c r="H83" s="6">
        <f>H38*0.34</f>
        <v>0</v>
      </c>
      <c r="I83" s="6">
        <f t="shared" ref="I83:O83" si="54">I38*0.34</f>
        <v>0</v>
      </c>
      <c r="J83" s="6">
        <f t="shared" si="54"/>
        <v>0</v>
      </c>
      <c r="K83" s="6">
        <f t="shared" si="54"/>
        <v>0</v>
      </c>
      <c r="L83" s="6">
        <f t="shared" si="54"/>
        <v>0</v>
      </c>
      <c r="M83" s="6">
        <f t="shared" si="54"/>
        <v>0</v>
      </c>
      <c r="N83" s="6">
        <f t="shared" si="54"/>
        <v>0</v>
      </c>
      <c r="O83" s="6">
        <f t="shared" si="54"/>
        <v>0</v>
      </c>
      <c r="P83" s="8">
        <f t="shared" si="37"/>
        <v>0</v>
      </c>
    </row>
    <row r="84" spans="1:16" ht="15" hidden="1" customHeight="1" outlineLevel="1">
      <c r="A84" s="9"/>
      <c r="B84" s="56"/>
      <c r="C84" s="5" t="s">
        <v>38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8"/>
    </row>
    <row r="85" spans="1:16" ht="15" hidden="1" customHeight="1" outlineLevel="1">
      <c r="A85" s="9"/>
      <c r="B85" s="56"/>
      <c r="C85" s="5" t="s">
        <v>39</v>
      </c>
      <c r="D85" s="6">
        <f t="shared" ref="D85:O85" si="55">D40*0.34</f>
        <v>0</v>
      </c>
      <c r="E85" s="6">
        <f t="shared" si="55"/>
        <v>0</v>
      </c>
      <c r="F85" s="6">
        <f t="shared" si="55"/>
        <v>0</v>
      </c>
      <c r="G85" s="6">
        <f t="shared" si="55"/>
        <v>0</v>
      </c>
      <c r="H85" s="6">
        <f t="shared" si="55"/>
        <v>0</v>
      </c>
      <c r="I85" s="6">
        <f t="shared" si="55"/>
        <v>0</v>
      </c>
      <c r="J85" s="6">
        <f t="shared" si="55"/>
        <v>0</v>
      </c>
      <c r="K85" s="6">
        <f t="shared" si="55"/>
        <v>0</v>
      </c>
      <c r="L85" s="6">
        <f t="shared" si="55"/>
        <v>0</v>
      </c>
      <c r="M85" s="6">
        <f t="shared" si="55"/>
        <v>0</v>
      </c>
      <c r="N85" s="6">
        <f t="shared" si="55"/>
        <v>0</v>
      </c>
      <c r="O85" s="6">
        <f t="shared" si="55"/>
        <v>0</v>
      </c>
      <c r="P85" s="8">
        <f t="shared" si="37"/>
        <v>0</v>
      </c>
    </row>
    <row r="86" spans="1:16" ht="15" hidden="1" customHeight="1" outlineLevel="1">
      <c r="A86" s="9"/>
      <c r="B86" s="56"/>
      <c r="C86" s="10" t="s">
        <v>44</v>
      </c>
      <c r="D86" s="6">
        <f t="shared" ref="D86:O86" si="56">D41*0.34</f>
        <v>0</v>
      </c>
      <c r="E86" s="6">
        <f t="shared" si="56"/>
        <v>0</v>
      </c>
      <c r="F86" s="6">
        <f t="shared" si="56"/>
        <v>0</v>
      </c>
      <c r="G86" s="6">
        <f t="shared" si="56"/>
        <v>0</v>
      </c>
      <c r="H86" s="6">
        <f t="shared" si="56"/>
        <v>0</v>
      </c>
      <c r="I86" s="6">
        <f t="shared" si="56"/>
        <v>0</v>
      </c>
      <c r="J86" s="6">
        <f t="shared" si="56"/>
        <v>0</v>
      </c>
      <c r="K86" s="6">
        <f t="shared" si="56"/>
        <v>0</v>
      </c>
      <c r="L86" s="6">
        <f t="shared" si="56"/>
        <v>0</v>
      </c>
      <c r="M86" s="6">
        <f t="shared" si="56"/>
        <v>0</v>
      </c>
      <c r="N86" s="6">
        <f t="shared" si="56"/>
        <v>0</v>
      </c>
      <c r="O86" s="6">
        <f t="shared" si="56"/>
        <v>0</v>
      </c>
      <c r="P86" s="18">
        <f t="shared" si="37"/>
        <v>0</v>
      </c>
    </row>
    <row r="87" spans="1:16" ht="15" hidden="1" customHeight="1" outlineLevel="1">
      <c r="A87" s="9"/>
      <c r="B87" s="56"/>
      <c r="C87" s="5" t="s">
        <v>41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8"/>
    </row>
    <row r="88" spans="1:16" ht="16" hidden="1" customHeight="1" outlineLevel="1" thickBot="1">
      <c r="A88" s="9"/>
      <c r="B88" s="65"/>
      <c r="C88" s="13" t="s">
        <v>33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6"/>
    </row>
    <row r="89" spans="1:16" s="71" customFormat="1" ht="15" collapsed="1" thickBot="1">
      <c r="A89" s="67"/>
      <c r="B89" s="68"/>
      <c r="C89" s="69" t="s">
        <v>42</v>
      </c>
      <c r="D89" s="70">
        <f>D48+D61+D80</f>
        <v>0</v>
      </c>
      <c r="E89" s="70">
        <f t="shared" ref="E89:P89" si="57">E48+E61+E80</f>
        <v>0</v>
      </c>
      <c r="F89" s="70">
        <f t="shared" si="57"/>
        <v>0</v>
      </c>
      <c r="G89" s="70">
        <f t="shared" si="57"/>
        <v>0</v>
      </c>
      <c r="H89" s="70">
        <f t="shared" si="57"/>
        <v>0</v>
      </c>
      <c r="I89" s="70">
        <f t="shared" si="57"/>
        <v>0</v>
      </c>
      <c r="J89" s="70">
        <f t="shared" si="57"/>
        <v>0</v>
      </c>
      <c r="K89" s="70">
        <f t="shared" si="57"/>
        <v>0</v>
      </c>
      <c r="L89" s="70">
        <f t="shared" si="57"/>
        <v>0</v>
      </c>
      <c r="M89" s="70">
        <f t="shared" si="57"/>
        <v>0</v>
      </c>
      <c r="N89" s="70">
        <f t="shared" si="57"/>
        <v>0</v>
      </c>
      <c r="O89" s="70">
        <f t="shared" si="57"/>
        <v>0</v>
      </c>
      <c r="P89" s="70">
        <f t="shared" si="57"/>
        <v>0</v>
      </c>
    </row>
    <row r="90" spans="1:16">
      <c r="A90" s="1"/>
      <c r="B90" s="57"/>
      <c r="C90" s="1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9" thickBot="1">
      <c r="A91" s="1"/>
      <c r="B91" s="57"/>
      <c r="C91" s="34" t="s">
        <v>45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" thickBot="1">
      <c r="A92" s="1"/>
      <c r="B92" s="58" t="s">
        <v>1</v>
      </c>
      <c r="C92" s="40" t="s">
        <v>2</v>
      </c>
      <c r="D92" s="42">
        <v>41640</v>
      </c>
      <c r="E92" s="43">
        <v>41641</v>
      </c>
      <c r="F92" s="43">
        <v>41642</v>
      </c>
      <c r="G92" s="43">
        <v>41643</v>
      </c>
      <c r="H92" s="43">
        <v>41644</v>
      </c>
      <c r="I92" s="43">
        <v>41645</v>
      </c>
      <c r="J92" s="43">
        <v>41646</v>
      </c>
      <c r="K92" s="43">
        <v>41647</v>
      </c>
      <c r="L92" s="43">
        <v>41648</v>
      </c>
      <c r="M92" s="43">
        <v>41649</v>
      </c>
      <c r="N92" s="43">
        <v>41650</v>
      </c>
      <c r="O92" s="44">
        <v>41651</v>
      </c>
      <c r="P92" s="39" t="s">
        <v>52</v>
      </c>
    </row>
    <row r="93" spans="1:16" ht="15" thickBot="1">
      <c r="A93" s="1"/>
      <c r="B93" s="37" t="s">
        <v>3</v>
      </c>
      <c r="C93" s="36"/>
      <c r="D93" s="41">
        <f>SUM(D94:D105)</f>
        <v>0</v>
      </c>
      <c r="E93" s="41">
        <f t="shared" ref="E93" si="58">SUM(E94:E105)</f>
        <v>0</v>
      </c>
      <c r="F93" s="41">
        <f t="shared" ref="F93" si="59">SUM(F94:F105)</f>
        <v>0</v>
      </c>
      <c r="G93" s="41">
        <f t="shared" ref="G93" si="60">SUM(G94:G105)</f>
        <v>0</v>
      </c>
      <c r="H93" s="41">
        <f t="shared" ref="H93" si="61">SUM(H94:H105)</f>
        <v>0</v>
      </c>
      <c r="I93" s="41">
        <f t="shared" ref="I93" si="62">SUM(I94:I105)</f>
        <v>0</v>
      </c>
      <c r="J93" s="41">
        <f t="shared" ref="J93" si="63">SUM(J94:J105)</f>
        <v>0</v>
      </c>
      <c r="K93" s="41">
        <f t="shared" ref="K93" si="64">SUM(K94:K105)</f>
        <v>0</v>
      </c>
      <c r="L93" s="41">
        <f t="shared" ref="L93" si="65">SUM(L94:L105)</f>
        <v>0</v>
      </c>
      <c r="M93" s="41">
        <f t="shared" ref="M93" si="66">SUM(M94:M105)</f>
        <v>0</v>
      </c>
      <c r="N93" s="41">
        <f t="shared" ref="N93" si="67">SUM(N94:N105)</f>
        <v>0</v>
      </c>
      <c r="O93" s="41">
        <f t="shared" ref="O93" si="68">SUM(O94:O105)</f>
        <v>0</v>
      </c>
      <c r="P93" s="38">
        <f>O93+N93+M93+L93+K93+J93+I93+H93+G93+F93+E93+D93</f>
        <v>0</v>
      </c>
    </row>
    <row r="94" spans="1:16" ht="15" hidden="1" customHeight="1" outlineLevel="1">
      <c r="A94" s="1"/>
      <c r="B94" s="56"/>
      <c r="C94" s="5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7"/>
      <c r="P94" s="8"/>
    </row>
    <row r="95" spans="1:16" ht="15" hidden="1" customHeight="1" outlineLevel="1">
      <c r="A95" s="1"/>
      <c r="B95" s="56"/>
      <c r="C95" s="5" t="s">
        <v>5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7"/>
      <c r="P95" s="8"/>
    </row>
    <row r="96" spans="1:16" ht="15" hidden="1" customHeight="1" outlineLevel="1">
      <c r="A96" s="1"/>
      <c r="B96" s="56"/>
      <c r="C96" s="5" t="s">
        <v>6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7"/>
      <c r="P96" s="8"/>
    </row>
    <row r="97" spans="1:16" ht="15" hidden="1" customHeight="1" outlineLevel="1">
      <c r="A97" s="1"/>
      <c r="B97" s="56"/>
      <c r="C97" s="5" t="s">
        <v>7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7"/>
      <c r="P97" s="8"/>
    </row>
    <row r="98" spans="1:16" ht="15" hidden="1" customHeight="1" outlineLevel="1">
      <c r="A98" s="1"/>
      <c r="B98" s="56"/>
      <c r="C98" s="5" t="s">
        <v>8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7"/>
      <c r="P98" s="8"/>
    </row>
    <row r="99" spans="1:16" ht="15" hidden="1" customHeight="1" outlineLevel="1">
      <c r="A99" s="2"/>
      <c r="B99" s="56"/>
      <c r="C99" s="5" t="s">
        <v>9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7"/>
      <c r="P99" s="8"/>
    </row>
    <row r="100" spans="1:16" ht="15" hidden="1" customHeight="1" outlineLevel="1">
      <c r="A100" s="2"/>
      <c r="B100" s="56"/>
      <c r="C100" s="5" t="s">
        <v>10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7"/>
      <c r="P100" s="8"/>
    </row>
    <row r="101" spans="1:16" ht="15" hidden="1" customHeight="1" outlineLevel="1">
      <c r="A101" s="2"/>
      <c r="B101" s="56"/>
      <c r="C101" s="5" t="s">
        <v>11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7"/>
      <c r="P101" s="8"/>
    </row>
    <row r="102" spans="1:16" ht="15" hidden="1" customHeight="1" outlineLevel="1">
      <c r="A102" s="2"/>
      <c r="B102" s="56"/>
      <c r="C102" s="5" t="s">
        <v>12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7"/>
      <c r="P102" s="8"/>
    </row>
    <row r="103" spans="1:16" ht="15" hidden="1" customHeight="1" outlineLevel="1">
      <c r="A103" s="9"/>
      <c r="B103" s="56"/>
      <c r="C103" s="5" t="s">
        <v>13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7"/>
      <c r="P103" s="8"/>
    </row>
    <row r="104" spans="1:16" ht="15" hidden="1" customHeight="1" outlineLevel="1">
      <c r="A104" s="9"/>
      <c r="B104" s="56"/>
      <c r="C104" s="10" t="s">
        <v>14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2"/>
      <c r="P104" s="8"/>
    </row>
    <row r="105" spans="1:16" ht="16" hidden="1" customHeight="1" outlineLevel="1" thickBot="1">
      <c r="A105" s="9"/>
      <c r="B105" s="65"/>
      <c r="C105" s="13" t="s">
        <v>15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6"/>
    </row>
    <row r="106" spans="1:16" ht="15" collapsed="1" thickBot="1">
      <c r="A106" s="1"/>
      <c r="B106" s="37" t="s">
        <v>16</v>
      </c>
      <c r="C106" s="36"/>
      <c r="D106" s="48">
        <f>SUM(D107:D124)</f>
        <v>0</v>
      </c>
      <c r="E106" s="48">
        <f t="shared" ref="E106" si="69">SUM(E107:E124)</f>
        <v>0</v>
      </c>
      <c r="F106" s="48">
        <f t="shared" ref="F106" si="70">SUM(F107:F124)</f>
        <v>0</v>
      </c>
      <c r="G106" s="48">
        <f t="shared" ref="G106" si="71">SUM(G107:G124)</f>
        <v>0</v>
      </c>
      <c r="H106" s="48">
        <f t="shared" ref="H106" si="72">SUM(H107:H124)</f>
        <v>0</v>
      </c>
      <c r="I106" s="48">
        <f t="shared" ref="I106" si="73">SUM(I107:I124)</f>
        <v>0</v>
      </c>
      <c r="J106" s="48">
        <f t="shared" ref="J106" si="74">SUM(J107:J124)</f>
        <v>0</v>
      </c>
      <c r="K106" s="48">
        <f t="shared" ref="K106" si="75">SUM(K107:K124)</f>
        <v>0</v>
      </c>
      <c r="L106" s="48">
        <f t="shared" ref="L106" si="76">SUM(L107:L124)</f>
        <v>0</v>
      </c>
      <c r="M106" s="48">
        <f t="shared" ref="M106" si="77">SUM(M107:M124)</f>
        <v>0</v>
      </c>
      <c r="N106" s="48">
        <f t="shared" ref="N106" si="78">SUM(N107:N124)</f>
        <v>0</v>
      </c>
      <c r="O106" s="48">
        <f t="shared" ref="O106" si="79">SUM(O107:O124)</f>
        <v>0</v>
      </c>
      <c r="P106" s="55">
        <v>0</v>
      </c>
    </row>
    <row r="107" spans="1:16" s="322" customFormat="1" ht="15" hidden="1" customHeight="1" outlineLevel="1">
      <c r="A107" s="323"/>
      <c r="B107" s="317"/>
      <c r="C107" s="318" t="s">
        <v>17</v>
      </c>
      <c r="D107" s="319">
        <v>0</v>
      </c>
      <c r="E107" s="319">
        <v>0</v>
      </c>
      <c r="F107" s="319">
        <v>0</v>
      </c>
      <c r="G107" s="319">
        <v>0</v>
      </c>
      <c r="H107" s="319">
        <v>0</v>
      </c>
      <c r="I107" s="319">
        <v>0</v>
      </c>
      <c r="J107" s="319">
        <v>0</v>
      </c>
      <c r="K107" s="319">
        <v>0</v>
      </c>
      <c r="L107" s="319">
        <v>0</v>
      </c>
      <c r="M107" s="319">
        <v>0</v>
      </c>
      <c r="N107" s="319">
        <v>0</v>
      </c>
      <c r="O107" s="319">
        <v>0</v>
      </c>
      <c r="P107" s="321">
        <v>0</v>
      </c>
    </row>
    <row r="108" spans="1:16" ht="15" hidden="1" customHeight="1" outlineLevel="1">
      <c r="A108" s="17"/>
      <c r="B108" s="56"/>
      <c r="C108" s="5" t="s">
        <v>18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8">
        <v>1</v>
      </c>
    </row>
    <row r="109" spans="1:16" ht="15" hidden="1" customHeight="1" outlineLevel="1">
      <c r="A109" s="9"/>
      <c r="B109" s="56"/>
      <c r="C109" s="5" t="s">
        <v>19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8">
        <v>1</v>
      </c>
    </row>
    <row r="110" spans="1:16" ht="15" hidden="1" customHeight="1" outlineLevel="1">
      <c r="A110" s="9"/>
      <c r="B110" s="56"/>
      <c r="C110" s="5" t="s">
        <v>20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8">
        <v>1</v>
      </c>
    </row>
    <row r="111" spans="1:16" ht="15" hidden="1" customHeight="1" outlineLevel="1">
      <c r="A111" s="9"/>
      <c r="B111" s="56"/>
      <c r="C111" s="5" t="s">
        <v>21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8">
        <v>1</v>
      </c>
    </row>
    <row r="112" spans="1:16" ht="15" hidden="1" customHeight="1" outlineLevel="1">
      <c r="A112" s="9"/>
      <c r="B112" s="56"/>
      <c r="C112" s="5" t="s">
        <v>22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7"/>
      <c r="P112" s="8"/>
    </row>
    <row r="113" spans="1:16" ht="15" hidden="1" customHeight="1" outlineLevel="1">
      <c r="A113" s="9"/>
      <c r="B113" s="56"/>
      <c r="C113" s="5" t="s">
        <v>12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7"/>
      <c r="P113" s="8"/>
    </row>
    <row r="114" spans="1:16" ht="15" hidden="1" customHeight="1" outlineLevel="1">
      <c r="A114" s="9"/>
      <c r="B114" s="56"/>
      <c r="C114" s="5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/>
      <c r="P114" s="8"/>
    </row>
    <row r="115" spans="1:16" ht="15" hidden="1" customHeight="1" outlineLevel="1">
      <c r="A115" s="9"/>
      <c r="B115" s="56"/>
      <c r="C115" s="5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/>
      <c r="P115" s="8"/>
    </row>
    <row r="116" spans="1:16" ht="15" hidden="1" customHeight="1" outlineLevel="1">
      <c r="A116" s="9"/>
      <c r="B116" s="56"/>
      <c r="C116" s="5" t="s">
        <v>25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2"/>
      <c r="P116" s="8"/>
    </row>
    <row r="117" spans="1:16" ht="15" hidden="1" customHeight="1" outlineLevel="1">
      <c r="A117" s="9"/>
      <c r="B117" s="56"/>
      <c r="C117" s="5" t="s">
        <v>26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2"/>
      <c r="P117" s="8"/>
    </row>
    <row r="118" spans="1:16" ht="15" hidden="1" customHeight="1" outlineLevel="1">
      <c r="A118" s="9"/>
      <c r="B118" s="56"/>
      <c r="C118" s="5" t="s">
        <v>27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/>
      <c r="P118" s="8"/>
    </row>
    <row r="119" spans="1:16" ht="15" hidden="1" customHeight="1" outlineLevel="1">
      <c r="A119" s="9"/>
      <c r="B119" s="56"/>
      <c r="C119" s="5" t="s">
        <v>28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2"/>
      <c r="P119" s="8"/>
    </row>
    <row r="120" spans="1:16" ht="15" hidden="1" customHeight="1" outlineLevel="1">
      <c r="A120" s="17"/>
      <c r="B120" s="56"/>
      <c r="C120" s="5" t="s">
        <v>29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7"/>
      <c r="P120" s="8"/>
    </row>
    <row r="121" spans="1:16" ht="15" hidden="1" customHeight="1" outlineLevel="1">
      <c r="A121" s="9"/>
      <c r="B121" s="56"/>
      <c r="C121" s="5" t="s">
        <v>30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7"/>
      <c r="P121" s="8"/>
    </row>
    <row r="122" spans="1:16" ht="15" hidden="1" customHeight="1" outlineLevel="1">
      <c r="A122" s="9"/>
      <c r="B122" s="56"/>
      <c r="C122" s="5" t="s">
        <v>31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7"/>
      <c r="P122" s="8"/>
    </row>
    <row r="123" spans="1:16" ht="15" hidden="1" customHeight="1" outlineLevel="1">
      <c r="A123" s="9"/>
      <c r="B123" s="56"/>
      <c r="C123" s="5" t="s">
        <v>32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2"/>
      <c r="P123" s="8"/>
    </row>
    <row r="124" spans="1:16" ht="16" hidden="1" customHeight="1" outlineLevel="1" thickBot="1">
      <c r="A124" s="9"/>
      <c r="B124" s="65"/>
      <c r="C124" s="13" t="s">
        <v>33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5"/>
      <c r="P124" s="16"/>
    </row>
    <row r="125" spans="1:16" ht="15" collapsed="1" thickBot="1">
      <c r="A125" s="1"/>
      <c r="B125" s="37" t="s">
        <v>34</v>
      </c>
      <c r="C125" s="36"/>
      <c r="D125" s="48">
        <f>SUM(D127:D133)</f>
        <v>0</v>
      </c>
      <c r="E125" s="48">
        <f t="shared" ref="E125:O125" si="80">SUM(E127:E133)</f>
        <v>0</v>
      </c>
      <c r="F125" s="48">
        <f t="shared" si="80"/>
        <v>0</v>
      </c>
      <c r="G125" s="48">
        <f t="shared" si="80"/>
        <v>0</v>
      </c>
      <c r="H125" s="48">
        <f t="shared" si="80"/>
        <v>0</v>
      </c>
      <c r="I125" s="48">
        <f t="shared" si="80"/>
        <v>0</v>
      </c>
      <c r="J125" s="48">
        <f t="shared" si="80"/>
        <v>0</v>
      </c>
      <c r="K125" s="48">
        <f t="shared" si="80"/>
        <v>0</v>
      </c>
      <c r="L125" s="48">
        <f t="shared" si="80"/>
        <v>0</v>
      </c>
      <c r="M125" s="48">
        <f t="shared" si="80"/>
        <v>0</v>
      </c>
      <c r="N125" s="48">
        <f t="shared" si="80"/>
        <v>0</v>
      </c>
      <c r="O125" s="48">
        <f t="shared" si="80"/>
        <v>0</v>
      </c>
      <c r="P125" s="55">
        <v>0</v>
      </c>
    </row>
    <row r="126" spans="1:16" s="322" customFormat="1" ht="15" hidden="1" customHeight="1" outlineLevel="1">
      <c r="A126" s="316"/>
      <c r="B126" s="317"/>
      <c r="C126" s="318" t="s">
        <v>35</v>
      </c>
      <c r="D126" s="319">
        <v>0</v>
      </c>
      <c r="E126" s="319">
        <v>0</v>
      </c>
      <c r="F126" s="319">
        <v>0</v>
      </c>
      <c r="G126" s="319">
        <v>0</v>
      </c>
      <c r="H126" s="319">
        <v>0</v>
      </c>
      <c r="I126" s="319">
        <v>0</v>
      </c>
      <c r="J126" s="319">
        <v>0</v>
      </c>
      <c r="K126" s="319">
        <v>0</v>
      </c>
      <c r="L126" s="319">
        <v>0</v>
      </c>
      <c r="M126" s="319">
        <v>0</v>
      </c>
      <c r="N126" s="319">
        <v>0</v>
      </c>
      <c r="O126" s="320">
        <v>0</v>
      </c>
      <c r="P126" s="321">
        <v>0</v>
      </c>
    </row>
    <row r="127" spans="1:16" ht="15" hidden="1" customHeight="1" outlineLevel="1">
      <c r="A127" s="9"/>
      <c r="B127" s="56"/>
      <c r="C127" s="5" t="s">
        <v>36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7"/>
      <c r="P127" s="8"/>
    </row>
    <row r="128" spans="1:16" s="322" customFormat="1" ht="15" hidden="1" customHeight="1" outlineLevel="1">
      <c r="A128" s="316"/>
      <c r="B128" s="317"/>
      <c r="C128" s="318" t="s">
        <v>37</v>
      </c>
      <c r="D128" s="319">
        <v>0</v>
      </c>
      <c r="E128" s="319">
        <v>0</v>
      </c>
      <c r="F128" s="319">
        <v>0</v>
      </c>
      <c r="G128" s="319">
        <v>0</v>
      </c>
      <c r="H128" s="319">
        <v>0</v>
      </c>
      <c r="I128" s="319">
        <v>0</v>
      </c>
      <c r="J128" s="319">
        <v>0</v>
      </c>
      <c r="K128" s="319">
        <v>0</v>
      </c>
      <c r="L128" s="319">
        <v>0</v>
      </c>
      <c r="M128" s="319">
        <v>0</v>
      </c>
      <c r="N128" s="319">
        <v>0</v>
      </c>
      <c r="O128" s="320">
        <v>0</v>
      </c>
      <c r="P128" s="321">
        <v>0</v>
      </c>
    </row>
    <row r="129" spans="1:16" ht="15" hidden="1" customHeight="1" outlineLevel="1">
      <c r="A129" s="9"/>
      <c r="B129" s="56"/>
      <c r="C129" s="5" t="s">
        <v>38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8"/>
    </row>
    <row r="130" spans="1:16" ht="15" hidden="1" customHeight="1" outlineLevel="1">
      <c r="A130" s="9"/>
      <c r="B130" s="56"/>
      <c r="C130" s="5" t="s">
        <v>39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7">
        <v>0</v>
      </c>
      <c r="P130" s="8">
        <v>0</v>
      </c>
    </row>
    <row r="131" spans="1:16" ht="15" hidden="1" customHeight="1" outlineLevel="1">
      <c r="A131" s="9"/>
      <c r="B131" s="56"/>
      <c r="C131" s="5" t="s">
        <v>44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7">
        <v>0</v>
      </c>
      <c r="P131" s="8">
        <v>0</v>
      </c>
    </row>
    <row r="132" spans="1:16" ht="15" hidden="1" customHeight="1" outlineLevel="1">
      <c r="A132" s="9"/>
      <c r="B132" s="56"/>
      <c r="C132" s="10" t="s">
        <v>41</v>
      </c>
      <c r="D132" s="6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8"/>
    </row>
    <row r="133" spans="1:16" ht="15" hidden="1" customHeight="1" outlineLevel="1" thickBot="1">
      <c r="A133" s="9"/>
      <c r="B133" s="56"/>
      <c r="C133" s="5" t="s">
        <v>33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2"/>
      <c r="P133" s="18"/>
    </row>
    <row r="134" spans="1:16" s="71" customFormat="1" ht="15" collapsed="1" thickBot="1">
      <c r="A134" s="67"/>
      <c r="B134" s="68"/>
      <c r="C134" s="69" t="s">
        <v>42</v>
      </c>
      <c r="D134" s="70">
        <f>D93+D106+D125</f>
        <v>0</v>
      </c>
      <c r="E134" s="70">
        <f t="shared" ref="E134:O134" si="81">E93+E106+E125</f>
        <v>0</v>
      </c>
      <c r="F134" s="70">
        <f t="shared" si="81"/>
        <v>0</v>
      </c>
      <c r="G134" s="70">
        <f t="shared" si="81"/>
        <v>0</v>
      </c>
      <c r="H134" s="70">
        <f t="shared" si="81"/>
        <v>0</v>
      </c>
      <c r="I134" s="70">
        <f t="shared" si="81"/>
        <v>0</v>
      </c>
      <c r="J134" s="70">
        <f t="shared" si="81"/>
        <v>0</v>
      </c>
      <c r="K134" s="70">
        <f t="shared" si="81"/>
        <v>0</v>
      </c>
      <c r="L134" s="70">
        <f t="shared" si="81"/>
        <v>0</v>
      </c>
      <c r="M134" s="70">
        <f t="shared" si="81"/>
        <v>0</v>
      </c>
      <c r="N134" s="70">
        <f t="shared" si="81"/>
        <v>0</v>
      </c>
      <c r="O134" s="70">
        <f t="shared" si="81"/>
        <v>0</v>
      </c>
      <c r="P134" s="70">
        <v>0</v>
      </c>
    </row>
    <row r="135" spans="1:16">
      <c r="A135" s="17"/>
      <c r="B135" s="62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" thickBot="1">
      <c r="A136" s="1"/>
      <c r="B136" s="5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15" thickBot="1">
      <c r="A137" s="17"/>
      <c r="B137" s="59"/>
      <c r="C137" s="35" t="s">
        <v>46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1:16">
      <c r="A138" s="17"/>
      <c r="B138" s="61"/>
      <c r="C138" s="20" t="s">
        <v>47</v>
      </c>
      <c r="D138" s="21">
        <f t="shared" ref="D138:O138" si="82">SUM(D17:D34)</f>
        <v>0</v>
      </c>
      <c r="E138" s="21">
        <f t="shared" si="82"/>
        <v>0</v>
      </c>
      <c r="F138" s="21">
        <f t="shared" si="82"/>
        <v>0</v>
      </c>
      <c r="G138" s="21">
        <f t="shared" si="82"/>
        <v>0</v>
      </c>
      <c r="H138" s="21">
        <f t="shared" si="82"/>
        <v>0</v>
      </c>
      <c r="I138" s="21">
        <f t="shared" si="82"/>
        <v>0</v>
      </c>
      <c r="J138" s="21">
        <f t="shared" si="82"/>
        <v>0</v>
      </c>
      <c r="K138" s="21">
        <f t="shared" si="82"/>
        <v>0</v>
      </c>
      <c r="L138" s="21">
        <f t="shared" si="82"/>
        <v>0</v>
      </c>
      <c r="M138" s="21">
        <f t="shared" si="82"/>
        <v>0</v>
      </c>
      <c r="N138" s="21">
        <f t="shared" si="82"/>
        <v>0</v>
      </c>
      <c r="O138" s="21">
        <f t="shared" si="82"/>
        <v>0</v>
      </c>
      <c r="P138" s="22">
        <f>SUM(D138:O138)</f>
        <v>0</v>
      </c>
    </row>
    <row r="139" spans="1:16">
      <c r="A139" s="17"/>
      <c r="B139" s="60"/>
      <c r="C139" s="23" t="s">
        <v>48</v>
      </c>
      <c r="D139" s="24">
        <f t="shared" ref="D139:O139" si="83">SUM(D36:D43)</f>
        <v>0</v>
      </c>
      <c r="E139" s="24">
        <f t="shared" si="83"/>
        <v>0</v>
      </c>
      <c r="F139" s="24">
        <f t="shared" si="83"/>
        <v>0</v>
      </c>
      <c r="G139" s="24">
        <f t="shared" si="83"/>
        <v>0</v>
      </c>
      <c r="H139" s="24">
        <f t="shared" si="83"/>
        <v>0</v>
      </c>
      <c r="I139" s="24">
        <f t="shared" si="83"/>
        <v>0</v>
      </c>
      <c r="J139" s="24">
        <f t="shared" si="83"/>
        <v>0</v>
      </c>
      <c r="K139" s="24">
        <f t="shared" si="83"/>
        <v>0</v>
      </c>
      <c r="L139" s="24">
        <f t="shared" si="83"/>
        <v>0</v>
      </c>
      <c r="M139" s="24">
        <f t="shared" si="83"/>
        <v>0</v>
      </c>
      <c r="N139" s="24">
        <f t="shared" si="83"/>
        <v>0</v>
      </c>
      <c r="O139" s="25">
        <f t="shared" si="83"/>
        <v>0</v>
      </c>
      <c r="P139" s="26">
        <f>SUM(D139:O139)</f>
        <v>0</v>
      </c>
    </row>
    <row r="140" spans="1:16">
      <c r="A140" s="17"/>
      <c r="B140" s="56"/>
      <c r="C140" s="23" t="s">
        <v>49</v>
      </c>
      <c r="D140" s="24">
        <f t="shared" ref="D140:O140" si="84">SUM(D4:D15)</f>
        <v>0</v>
      </c>
      <c r="E140" s="24">
        <f t="shared" si="84"/>
        <v>0</v>
      </c>
      <c r="F140" s="24">
        <f t="shared" si="84"/>
        <v>0</v>
      </c>
      <c r="G140" s="24">
        <f t="shared" si="84"/>
        <v>0</v>
      </c>
      <c r="H140" s="24">
        <f t="shared" si="84"/>
        <v>0</v>
      </c>
      <c r="I140" s="24">
        <f t="shared" si="84"/>
        <v>0</v>
      </c>
      <c r="J140" s="24">
        <f t="shared" si="84"/>
        <v>0</v>
      </c>
      <c r="K140" s="24">
        <f t="shared" si="84"/>
        <v>0</v>
      </c>
      <c r="L140" s="24">
        <f t="shared" si="84"/>
        <v>0</v>
      </c>
      <c r="M140" s="24">
        <f t="shared" si="84"/>
        <v>0</v>
      </c>
      <c r="N140" s="24">
        <f t="shared" si="84"/>
        <v>0</v>
      </c>
      <c r="O140" s="25">
        <f t="shared" si="84"/>
        <v>0</v>
      </c>
      <c r="P140" s="26">
        <f>SUM(D140:O140)</f>
        <v>0</v>
      </c>
    </row>
    <row r="141" spans="1:16" ht="15" thickBot="1">
      <c r="A141" s="17"/>
      <c r="B141" s="56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spans="1:16" s="71" customFormat="1" ht="15" collapsed="1" thickBot="1">
      <c r="A142" s="67"/>
      <c r="B142" s="68"/>
      <c r="C142" s="69" t="s">
        <v>50</v>
      </c>
      <c r="D142" s="70">
        <f t="shared" ref="D142:P142" si="85">D138+D139+D140</f>
        <v>0</v>
      </c>
      <c r="E142" s="70">
        <f t="shared" si="85"/>
        <v>0</v>
      </c>
      <c r="F142" s="70">
        <f t="shared" si="85"/>
        <v>0</v>
      </c>
      <c r="G142" s="70">
        <f t="shared" si="85"/>
        <v>0</v>
      </c>
      <c r="H142" s="70">
        <f t="shared" si="85"/>
        <v>0</v>
      </c>
      <c r="I142" s="70">
        <f t="shared" si="85"/>
        <v>0</v>
      </c>
      <c r="J142" s="70">
        <f t="shared" si="85"/>
        <v>0</v>
      </c>
      <c r="K142" s="70">
        <f t="shared" si="85"/>
        <v>0</v>
      </c>
      <c r="L142" s="70">
        <f t="shared" si="85"/>
        <v>0</v>
      </c>
      <c r="M142" s="70">
        <f t="shared" si="85"/>
        <v>0</v>
      </c>
      <c r="N142" s="70">
        <f t="shared" si="85"/>
        <v>0</v>
      </c>
      <c r="O142" s="70">
        <f t="shared" si="85"/>
        <v>0</v>
      </c>
      <c r="P142" s="70">
        <f t="shared" si="85"/>
        <v>0</v>
      </c>
    </row>
    <row r="143" spans="1:16" ht="15" thickBot="1">
      <c r="A143" s="30"/>
      <c r="B143" s="63"/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</row>
    <row r="144" spans="1:16" ht="15" thickBot="1">
      <c r="A144" s="17"/>
      <c r="B144" s="59"/>
      <c r="C144" s="35" t="s">
        <v>51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1:16">
      <c r="A145" s="17"/>
      <c r="B145" s="61"/>
      <c r="C145" s="20" t="s">
        <v>47</v>
      </c>
      <c r="D145" s="21">
        <f t="shared" ref="D145:O145" si="86">SUM(D62:D79)</f>
        <v>0</v>
      </c>
      <c r="E145" s="21">
        <f t="shared" si="86"/>
        <v>0</v>
      </c>
      <c r="F145" s="21">
        <f t="shared" si="86"/>
        <v>0</v>
      </c>
      <c r="G145" s="21">
        <f t="shared" si="86"/>
        <v>0</v>
      </c>
      <c r="H145" s="21">
        <f t="shared" si="86"/>
        <v>0</v>
      </c>
      <c r="I145" s="21">
        <f t="shared" si="86"/>
        <v>0</v>
      </c>
      <c r="J145" s="21">
        <f t="shared" si="86"/>
        <v>0</v>
      </c>
      <c r="K145" s="21">
        <f t="shared" si="86"/>
        <v>0</v>
      </c>
      <c r="L145" s="21">
        <f t="shared" si="86"/>
        <v>0</v>
      </c>
      <c r="M145" s="21">
        <f t="shared" si="86"/>
        <v>0</v>
      </c>
      <c r="N145" s="21">
        <f t="shared" si="86"/>
        <v>0</v>
      </c>
      <c r="O145" s="33">
        <f t="shared" si="86"/>
        <v>0</v>
      </c>
      <c r="P145" s="22">
        <f>SUM(D145:O145)</f>
        <v>0</v>
      </c>
    </row>
    <row r="146" spans="1:16">
      <c r="A146" s="17"/>
      <c r="B146" s="60"/>
      <c r="C146" s="23" t="s">
        <v>48</v>
      </c>
      <c r="D146" s="24">
        <f t="shared" ref="D146:O146" si="87">SUM(D81:D88)</f>
        <v>0</v>
      </c>
      <c r="E146" s="24">
        <f t="shared" si="87"/>
        <v>0</v>
      </c>
      <c r="F146" s="24">
        <f t="shared" si="87"/>
        <v>0</v>
      </c>
      <c r="G146" s="24">
        <f t="shared" si="87"/>
        <v>0</v>
      </c>
      <c r="H146" s="24">
        <f t="shared" si="87"/>
        <v>0</v>
      </c>
      <c r="I146" s="24">
        <f t="shared" si="87"/>
        <v>0</v>
      </c>
      <c r="J146" s="24">
        <f t="shared" si="87"/>
        <v>0</v>
      </c>
      <c r="K146" s="24">
        <f t="shared" si="87"/>
        <v>0</v>
      </c>
      <c r="L146" s="24">
        <f t="shared" si="87"/>
        <v>0</v>
      </c>
      <c r="M146" s="24">
        <f t="shared" si="87"/>
        <v>0</v>
      </c>
      <c r="N146" s="24">
        <f t="shared" si="87"/>
        <v>0</v>
      </c>
      <c r="O146" s="25">
        <f t="shared" si="87"/>
        <v>0</v>
      </c>
      <c r="P146" s="26">
        <f>SUM(D146:O146)</f>
        <v>0</v>
      </c>
    </row>
    <row r="147" spans="1:16">
      <c r="A147" s="17"/>
      <c r="B147" s="56"/>
      <c r="C147" s="23" t="s">
        <v>49</v>
      </c>
      <c r="D147" s="24">
        <f t="shared" ref="D147:O147" si="88">SUM(D49:D60)</f>
        <v>0</v>
      </c>
      <c r="E147" s="24">
        <f t="shared" si="88"/>
        <v>0</v>
      </c>
      <c r="F147" s="24">
        <f t="shared" si="88"/>
        <v>0</v>
      </c>
      <c r="G147" s="24">
        <f t="shared" si="88"/>
        <v>0</v>
      </c>
      <c r="H147" s="24">
        <f t="shared" si="88"/>
        <v>0</v>
      </c>
      <c r="I147" s="24">
        <f t="shared" si="88"/>
        <v>0</v>
      </c>
      <c r="J147" s="24">
        <f t="shared" si="88"/>
        <v>0</v>
      </c>
      <c r="K147" s="24">
        <f t="shared" si="88"/>
        <v>0</v>
      </c>
      <c r="L147" s="24">
        <f t="shared" si="88"/>
        <v>0</v>
      </c>
      <c r="M147" s="24">
        <f t="shared" si="88"/>
        <v>0</v>
      </c>
      <c r="N147" s="24">
        <f t="shared" si="88"/>
        <v>0</v>
      </c>
      <c r="O147" s="25">
        <f t="shared" si="88"/>
        <v>0</v>
      </c>
      <c r="P147" s="26">
        <f>SUM(D147:O147)</f>
        <v>0</v>
      </c>
    </row>
    <row r="148" spans="1:16" ht="15" thickBot="1">
      <c r="A148" s="17"/>
      <c r="B148" s="56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spans="1:16" s="71" customFormat="1" ht="15" collapsed="1" thickBot="1">
      <c r="A149" s="67"/>
      <c r="B149" s="68"/>
      <c r="C149" s="69" t="s">
        <v>50</v>
      </c>
      <c r="D149" s="70">
        <f t="shared" ref="D149:P149" si="89">D145+D146+D147</f>
        <v>0</v>
      </c>
      <c r="E149" s="70">
        <f t="shared" si="89"/>
        <v>0</v>
      </c>
      <c r="F149" s="70">
        <f t="shared" si="89"/>
        <v>0</v>
      </c>
      <c r="G149" s="70">
        <f t="shared" si="89"/>
        <v>0</v>
      </c>
      <c r="H149" s="70">
        <f t="shared" si="89"/>
        <v>0</v>
      </c>
      <c r="I149" s="70">
        <f t="shared" si="89"/>
        <v>0</v>
      </c>
      <c r="J149" s="70">
        <f t="shared" si="89"/>
        <v>0</v>
      </c>
      <c r="K149" s="70">
        <f t="shared" si="89"/>
        <v>0</v>
      </c>
      <c r="L149" s="70">
        <f t="shared" si="89"/>
        <v>0</v>
      </c>
      <c r="M149" s="70">
        <f t="shared" si="89"/>
        <v>0</v>
      </c>
      <c r="N149" s="70">
        <f t="shared" si="89"/>
        <v>0</v>
      </c>
      <c r="O149" s="70">
        <f t="shared" si="89"/>
        <v>0</v>
      </c>
      <c r="P149" s="70">
        <f t="shared" si="89"/>
        <v>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H23"/>
  <sheetViews>
    <sheetView zoomScale="85" zoomScaleNormal="85" zoomScalePageLayoutView="85" workbookViewId="0">
      <pane xSplit="1" ySplit="1" topLeftCell="B2" activePane="bottomRight" state="frozen"/>
      <selection pane="topRight" activeCell="D1" sqref="D1"/>
      <selection pane="bottomLeft" activeCell="A3" sqref="A3"/>
      <selection pane="bottomRight" activeCell="G7" sqref="G7"/>
    </sheetView>
  </sheetViews>
  <sheetFormatPr baseColWidth="10" defaultColWidth="9.1640625" defaultRowHeight="12" x14ac:dyDescent="0"/>
  <cols>
    <col min="1" max="1" width="9.1640625" style="74"/>
    <col min="2" max="2" width="35.33203125" style="74" customWidth="1"/>
    <col min="3" max="4" width="11.5" style="74" bestFit="1" customWidth="1"/>
    <col min="5" max="5" width="12" style="74" customWidth="1"/>
    <col min="6" max="6" width="11.5" style="74" bestFit="1" customWidth="1"/>
    <col min="7" max="7" width="12" style="74" customWidth="1"/>
    <col min="8" max="8" width="9.1640625" style="74"/>
    <col min="9" max="9" width="11.5" style="74" customWidth="1"/>
    <col min="10" max="10" width="12.6640625" style="74" customWidth="1"/>
    <col min="11" max="11" width="11.33203125" style="74" customWidth="1"/>
    <col min="12" max="12" width="11.5" style="74" customWidth="1"/>
    <col min="13" max="16384" width="9.1640625" style="74"/>
  </cols>
  <sheetData>
    <row r="1" spans="2:8" ht="24" customHeight="1">
      <c r="B1" s="89" t="s">
        <v>55</v>
      </c>
      <c r="C1" s="90"/>
      <c r="D1" s="90"/>
      <c r="E1" s="90"/>
      <c r="F1" s="90"/>
      <c r="G1" s="90"/>
    </row>
    <row r="2" spans="2:8">
      <c r="C2" s="87" t="s">
        <v>60</v>
      </c>
      <c r="D2" s="87" t="s">
        <v>61</v>
      </c>
      <c r="E2" s="87" t="s">
        <v>62</v>
      </c>
      <c r="F2" s="87" t="s">
        <v>63</v>
      </c>
      <c r="G2" s="87" t="s">
        <v>66</v>
      </c>
      <c r="H2" s="88"/>
    </row>
    <row r="3" spans="2:8">
      <c r="B3" s="77" t="s">
        <v>68</v>
      </c>
      <c r="C3" s="92">
        <v>161</v>
      </c>
      <c r="D3" s="92">
        <v>0</v>
      </c>
      <c r="E3" s="92">
        <v>0</v>
      </c>
      <c r="F3" s="92">
        <v>0</v>
      </c>
      <c r="G3" s="76">
        <f>SUM(C3:F3)</f>
        <v>161</v>
      </c>
    </row>
    <row r="4" spans="2:8">
      <c r="B4" s="75" t="s">
        <v>67</v>
      </c>
      <c r="C4" s="76">
        <v>0</v>
      </c>
      <c r="D4" s="76">
        <v>0</v>
      </c>
      <c r="E4" s="76">
        <v>0</v>
      </c>
      <c r="F4" s="76">
        <v>0</v>
      </c>
      <c r="G4" s="76">
        <v>0</v>
      </c>
    </row>
    <row r="5" spans="2:8">
      <c r="B5" s="78" t="s">
        <v>70</v>
      </c>
      <c r="C5" s="76">
        <v>0</v>
      </c>
      <c r="D5" s="76">
        <v>0</v>
      </c>
      <c r="E5" s="76">
        <v>0</v>
      </c>
      <c r="F5" s="76">
        <v>0</v>
      </c>
      <c r="G5" s="76">
        <f>SUM(C5:F5)</f>
        <v>0</v>
      </c>
    </row>
    <row r="6" spans="2:8">
      <c r="B6" s="79" t="s">
        <v>69</v>
      </c>
      <c r="C6" s="76">
        <v>0</v>
      </c>
      <c r="D6" s="76">
        <v>0</v>
      </c>
      <c r="E6" s="76">
        <v>0</v>
      </c>
      <c r="F6" s="76">
        <v>0</v>
      </c>
      <c r="G6" s="76">
        <f>SUM(C6:F6)</f>
        <v>0</v>
      </c>
    </row>
    <row r="7" spans="2:8">
      <c r="B7" s="91" t="s">
        <v>66</v>
      </c>
      <c r="C7" s="83">
        <f>SUM(C3:C6)</f>
        <v>161</v>
      </c>
      <c r="D7" s="83">
        <f>SUM(D3:D6)</f>
        <v>0</v>
      </c>
      <c r="E7" s="83">
        <v>0</v>
      </c>
      <c r="F7" s="83">
        <v>0</v>
      </c>
      <c r="G7" s="83">
        <f>SUM(C7:F7)</f>
        <v>161</v>
      </c>
    </row>
    <row r="8" spans="2:8">
      <c r="B8" s="87" t="s">
        <v>58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88">
        <f>G8/G7</f>
        <v>0</v>
      </c>
    </row>
    <row r="9" spans="2:8">
      <c r="B9" s="87"/>
      <c r="C9" s="76"/>
      <c r="D9" s="76"/>
      <c r="E9" s="76"/>
      <c r="F9" s="76"/>
      <c r="G9" s="76"/>
    </row>
    <row r="10" spans="2:8">
      <c r="B10" s="87" t="s">
        <v>71</v>
      </c>
      <c r="C10" s="76">
        <f t="shared" ref="C10:G10" si="0">C3+C6</f>
        <v>161</v>
      </c>
      <c r="D10" s="76">
        <f t="shared" si="0"/>
        <v>0</v>
      </c>
      <c r="E10" s="76">
        <v>0</v>
      </c>
      <c r="F10" s="76">
        <v>0</v>
      </c>
      <c r="G10" s="76">
        <f t="shared" si="0"/>
        <v>161</v>
      </c>
    </row>
    <row r="15" spans="2:8">
      <c r="B15" s="87" t="s">
        <v>59</v>
      </c>
      <c r="C15" s="83">
        <f>SUM(C16)</f>
        <v>457482.87374999997</v>
      </c>
      <c r="D15" s="83">
        <f>SUM(D16)</f>
        <v>0</v>
      </c>
      <c r="E15" s="83">
        <f>SUM(E16)</f>
        <v>0</v>
      </c>
      <c r="F15" s="83">
        <f>SUM(F16)</f>
        <v>0</v>
      </c>
      <c r="G15" s="83">
        <f>SUM(G16)</f>
        <v>457482.87374999997</v>
      </c>
    </row>
    <row r="16" spans="2:8">
      <c r="B16" s="87" t="s">
        <v>30</v>
      </c>
      <c r="C16" s="76">
        <f>(C4+C3+C5)*САРЕХ!$E$42</f>
        <v>457482.87374999997</v>
      </c>
      <c r="D16" s="76">
        <f>(D4+D3+D5)*САРЕХ!$E$42</f>
        <v>0</v>
      </c>
      <c r="E16" s="76">
        <f>(E4+E3+E5)*САРЕХ!$E$42</f>
        <v>0</v>
      </c>
      <c r="F16" s="76">
        <f>(F4+F3+F5)*САРЕХ!$E$42</f>
        <v>0</v>
      </c>
      <c r="G16" s="76">
        <f>(G4+G3+G5)*САРЕХ!$E$42</f>
        <v>457482.87374999997</v>
      </c>
    </row>
    <row r="21" spans="4:7" ht="13" thickBot="1"/>
    <row r="22" spans="4:7">
      <c r="D22" s="80" t="s">
        <v>56</v>
      </c>
      <c r="E22" s="81"/>
      <c r="F22" s="80" t="s">
        <v>57</v>
      </c>
      <c r="G22" s="82"/>
    </row>
    <row r="23" spans="4:7" ht="13" thickBot="1">
      <c r="D23" s="84">
        <v>0</v>
      </c>
      <c r="E23" s="85">
        <f>G10*D23</f>
        <v>0</v>
      </c>
      <c r="F23" s="84">
        <v>0.5</v>
      </c>
      <c r="G23" s="86">
        <f>G10*F23</f>
        <v>80.5</v>
      </c>
    </row>
  </sheetData>
  <pageMargins left="0.7" right="0.7" top="0.75" bottom="0.75" header="0.3" footer="0.3"/>
  <pageSetup paperSize="9" scale="71" orientation="landscape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B9" sqref="B9"/>
    </sheetView>
  </sheetViews>
  <sheetFormatPr baseColWidth="10" defaultColWidth="11" defaultRowHeight="15" x14ac:dyDescent="0"/>
  <cols>
    <col min="2" max="2" width="98.33203125" bestFit="1" customWidth="1"/>
    <col min="3" max="3" width="11" style="152"/>
  </cols>
  <sheetData>
    <row r="1" spans="2:3" s="4" customFormat="1" ht="14">
      <c r="B1" s="72" t="s">
        <v>53</v>
      </c>
      <c r="C1" s="263"/>
    </row>
    <row r="2" spans="2:3" s="4" customFormat="1" ht="14">
      <c r="B2" s="73" t="s">
        <v>175</v>
      </c>
      <c r="C2" s="263" t="s">
        <v>208</v>
      </c>
    </row>
    <row r="3" spans="2:3" s="4" customFormat="1" ht="14">
      <c r="B3" s="73" t="s">
        <v>176</v>
      </c>
      <c r="C3" s="264">
        <v>41640</v>
      </c>
    </row>
    <row r="4" spans="2:3" s="4" customFormat="1" ht="14">
      <c r="B4" s="73" t="s">
        <v>177</v>
      </c>
      <c r="C4" s="263" t="s">
        <v>174</v>
      </c>
    </row>
    <row r="5" spans="2:3" s="4" customFormat="1" ht="14">
      <c r="B5" s="261" t="s">
        <v>171</v>
      </c>
      <c r="C5" s="265">
        <v>37</v>
      </c>
    </row>
    <row r="6" spans="2:3" s="4" customFormat="1" ht="14">
      <c r="B6" s="261" t="s">
        <v>170</v>
      </c>
      <c r="C6" s="4">
        <v>161</v>
      </c>
    </row>
    <row r="7" spans="2:3" s="4" customFormat="1" ht="14">
      <c r="B7" s="261" t="s">
        <v>169</v>
      </c>
      <c r="C7" s="4">
        <v>2</v>
      </c>
    </row>
    <row r="8" spans="2:3" s="4" customFormat="1" ht="14">
      <c r="B8" s="261"/>
      <c r="C8" s="266"/>
    </row>
    <row r="9" spans="2:3" s="4" customFormat="1" ht="14">
      <c r="B9" s="73" t="s">
        <v>209</v>
      </c>
      <c r="C9" s="263"/>
    </row>
    <row r="10" spans="2:3" s="4" customFormat="1">
      <c r="B10" t="s">
        <v>54</v>
      </c>
      <c r="C10" s="263"/>
    </row>
    <row r="11" spans="2:3">
      <c r="B11" t="s">
        <v>210</v>
      </c>
    </row>
    <row r="12" spans="2:3">
      <c r="B12" t="s">
        <v>211</v>
      </c>
    </row>
    <row r="13" spans="2:3">
      <c r="C13" t="s">
        <v>212</v>
      </c>
    </row>
    <row r="14" spans="2:3">
      <c r="C14" t="s">
        <v>213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Денежный поток</vt:lpstr>
      <vt:lpstr>Бизнес-план</vt:lpstr>
      <vt:lpstr>САРЕХ</vt:lpstr>
      <vt:lpstr>Персонал</vt:lpstr>
      <vt:lpstr>Территория</vt:lpstr>
      <vt:lpstr>Допущения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Dmitry</cp:lastModifiedBy>
  <dcterms:created xsi:type="dcterms:W3CDTF">2014-05-04T07:45:48Z</dcterms:created>
  <dcterms:modified xsi:type="dcterms:W3CDTF">2014-05-20T12:24:36Z</dcterms:modified>
</cp:coreProperties>
</file>