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810" windowWidth="13275" windowHeight="9465"/>
  </bookViews>
  <sheets>
    <sheet name="Опросный лист шлюз" sheetId="2" r:id="rId1"/>
    <sheet name="Лист1" sheetId="4" state="hidden" r:id="rId2"/>
    <sheet name="Справка" sheetId="5" r:id="rId3"/>
  </sheets>
  <externalReferences>
    <externalReference r:id="rId4"/>
  </externalReferences>
  <definedNames>
    <definedName name="Test" localSheetId="1">#REF!</definedName>
    <definedName name="Test">#REF!</definedName>
    <definedName name="Арматура">'[1]Опросный лист термоманометр'!$L$94:$L$99</definedName>
    <definedName name="Без_пустых" localSheetId="1">IFERROR(INDEX(#REF!,SMALL(IF(#REF!&lt;&gt;#REF!,ROW(INDIRECT("1:"&amp;ROWS(#REF!))),""),ROW(INDIRECT("1:"&amp;ROWS(#REF!))))),"")</definedName>
    <definedName name="Без_пустых">IFERROR(INDEX(#REF!,SMALL(IF(#REF!&lt;&gt;#REF!,ROW(INDIRECT("1:"&amp;ROWS(#REF!))),""),ROW(INDIRECT("1:"&amp;ROWS(#REF!))))),"")</definedName>
    <definedName name="Без_пустых1" localSheetId="1">IFERROR(VLOOKUP(ROW(#REF!),#REF!,2,0),"")</definedName>
    <definedName name="Без_пустых1">IFERROR(VLOOKUP(ROW(#REF!),#REF!,2,0),"")</definedName>
    <definedName name="Гильза">OFFSET('[1]Опросный лист термоманометр'!$L$75:$N$78,0,'[1]Опросный лист термоманометр'!$I$24-1,,1)</definedName>
    <definedName name="Давление_ВПИ">'[1]Опросный лист термоманометр'!$L$4:$L$15</definedName>
    <definedName name="Давление_Погрешность">'[1]Опросный лист термоманометр'!$L$17:$L$22</definedName>
    <definedName name="Исполнение">'[1]Опросный лист термоманометр'!$L$87:$L$88</definedName>
    <definedName name="Кабель_Длина">OFFSET('[1]Опросный лист термоманометр'!$L$61:$N$69,0,'[1]Опросный лист термоманометр'!$I$24-1,,1)</definedName>
    <definedName name="Кабель_Защита">OFFSET('[1]Опросный лист термоманометр'!$L$71:$N$73,0,'[1]Опросный лист термоманометр'!$I$24-1,,1)</definedName>
    <definedName name="Кабель_Подключение">OFFSET('[1]Опросный лист термоманометр'!$L$57:$N$59,0,'[1]Опросный лист термоманометр'!$I$24-1,,1)</definedName>
    <definedName name="Конструктивное_исполнение" localSheetId="1">Лист1!#REF!</definedName>
    <definedName name="Конструктивное_исполнение">'Опросный лист шлюз'!#REF!</definedName>
    <definedName name="_xlnm.Print_Area" localSheetId="1">Лист1!#REF!</definedName>
    <definedName name="_xlnm.Print_Area" localSheetId="0">'Опросный лист шлюз'!$A$2:$J$44</definedName>
    <definedName name="_xlnm.Print_Area" localSheetId="2">Справка!$A$1:$B$12</definedName>
    <definedName name="Поверка">'[1]Опросный лист термоманометр'!$L$101:$L$102</definedName>
    <definedName name="Резьба">'[1]Опросный лист термоманометр'!$L$90:$L$92</definedName>
    <definedName name="Способ_подключения_кабеля_к_термощупу" localSheetId="1">#REF!</definedName>
    <definedName name="Способ_подключения_кабеля_к_термощупу">#REF!</definedName>
    <definedName name="Способы_крепления_термощупа" localSheetId="1">#REF!</definedName>
    <definedName name="Способы_крепления_термощупа">#REF!</definedName>
    <definedName name="Температура_Диапазон" localSheetId="1">Лист1!#REF!</definedName>
    <definedName name="Температура_Диапазон">'Опросный лист шлюз'!#REF!</definedName>
    <definedName name="Температура_Место">'[1]Опросный лист термоманометр'!$L$25:$L$27</definedName>
    <definedName name="Температура_Погрешность">OFFSET('[1]Опросный лист термоманометр'!$L$36:$N$38,0,'[1]Опросный лист термоманометр'!$I$24-1,,1)</definedName>
    <definedName name="Хранение_передача">'[1]Опросный лист термоманометр'!$L$80:$L$81</definedName>
    <definedName name="Щуп_Диаметр">OFFSET('[1]Опросный лист термоманометр'!$L$45:$N$49,0,'[1]Опросный лист термоманометр'!$I$24-1,,1)</definedName>
    <definedName name="Щуп_Длина">OFFSET('[1]Опросный лист термоманометр'!$L$40:$N$43,0,'[1]Опросный лист термоманометр'!$I$24-1,,1)</definedName>
    <definedName name="Щуп_Крепление">OFFSET('[1]Опросный лист термоманометр'!$L$51:$N$55,0,'[1]Опросный лист термоманометр'!$I$24-1,,1)</definedName>
  </definedNames>
  <calcPr calcId="145621"/>
</workbook>
</file>

<file path=xl/calcChain.xml><?xml version="1.0" encoding="utf-8"?>
<calcChain xmlns="http://schemas.openxmlformats.org/spreadsheetml/2006/main">
  <c r="C43" i="2" l="1"/>
  <c r="C62" i="4" l="1"/>
  <c r="B62" i="4"/>
  <c r="B5" i="4" l="1"/>
  <c r="B8" i="4" l="1"/>
  <c r="B13" i="4"/>
  <c r="C13" i="4" l="1"/>
  <c r="C8" i="4"/>
  <c r="B25" i="4"/>
  <c r="D31" i="4" l="1"/>
  <c r="B10" i="2"/>
  <c r="D32" i="4"/>
  <c r="B12" i="2"/>
  <c r="B35" i="4" l="1"/>
  <c r="B30" i="4"/>
  <c r="C37" i="4" l="1"/>
  <c r="C13" i="2" s="1"/>
  <c r="C36" i="4"/>
  <c r="E70" i="4"/>
  <c r="D70" i="4"/>
  <c r="E49" i="4"/>
  <c r="E48" i="4"/>
  <c r="D48" i="4"/>
  <c r="E47" i="4"/>
  <c r="D47" i="4"/>
  <c r="B47" i="4" s="1"/>
  <c r="D50" i="4"/>
  <c r="D49" i="4"/>
  <c r="D55" i="4"/>
  <c r="E55" i="4"/>
  <c r="E71" i="4"/>
  <c r="D71" i="4"/>
  <c r="D69" i="4"/>
  <c r="C35" i="4"/>
  <c r="E69" i="4"/>
  <c r="B53" i="4"/>
  <c r="C53" i="4" s="1"/>
  <c r="B20" i="2" s="1"/>
  <c r="E44" i="4"/>
  <c r="E43" i="4"/>
  <c r="D44" i="4"/>
  <c r="D43" i="4"/>
  <c r="C30" i="4"/>
  <c r="B14" i="2"/>
  <c r="B16" i="2"/>
  <c r="E50" i="4"/>
  <c r="C31" i="4"/>
  <c r="E59" i="4" l="1"/>
  <c r="D59" i="4"/>
  <c r="B58" i="4" s="1"/>
  <c r="C68" i="4"/>
  <c r="C69" i="4" s="1"/>
  <c r="B68" i="4"/>
  <c r="C47" i="4"/>
  <c r="B42" i="4"/>
  <c r="C42" i="4" s="1"/>
  <c r="B76" i="4" l="1"/>
  <c r="C39" i="2" s="1"/>
  <c r="C58" i="4"/>
  <c r="B77" i="4" s="1"/>
  <c r="C41" i="2" s="1"/>
</calcChain>
</file>

<file path=xl/sharedStrings.xml><?xml version="1.0" encoding="utf-8"?>
<sst xmlns="http://schemas.openxmlformats.org/spreadsheetml/2006/main" count="120" uniqueCount="83">
  <si>
    <t>Информацию подготовил:</t>
  </si>
  <si>
    <t>Фамилия, Имя, Отчество</t>
  </si>
  <si>
    <t>Компания</t>
  </si>
  <si>
    <t>Почтовый адрес</t>
  </si>
  <si>
    <t>Телефон/Факс</t>
  </si>
  <si>
    <t>Количество, шт</t>
  </si>
  <si>
    <t>Дополнительные требования</t>
  </si>
  <si>
    <t>Если выбрано "другое", то впишите значение</t>
  </si>
  <si>
    <t>Код для заказа</t>
  </si>
  <si>
    <t>не требуется</t>
  </si>
  <si>
    <t>Выбранный вариант</t>
  </si>
  <si>
    <t>В спецификацию</t>
  </si>
  <si>
    <t/>
  </si>
  <si>
    <t>RS-485</t>
  </si>
  <si>
    <t>Bluetooth</t>
  </si>
  <si>
    <t>Опции</t>
  </si>
  <si>
    <t>Питание шлюза</t>
  </si>
  <si>
    <t>Крепление</t>
  </si>
  <si>
    <t>Дополнительная комплектация</t>
  </si>
  <si>
    <t>Интерфейсы связи с датчиками</t>
  </si>
  <si>
    <t>LoRa</t>
  </si>
  <si>
    <t>Цифровые и аналоговые входы/выходы</t>
  </si>
  <si>
    <t>Блок питания 220В/24В</t>
  </si>
  <si>
    <t>Столбец1</t>
  </si>
  <si>
    <t>Столбец2</t>
  </si>
  <si>
    <t>Передача данных</t>
  </si>
  <si>
    <t>Столбец3</t>
  </si>
  <si>
    <t>есть</t>
  </si>
  <si>
    <t xml:space="preserve">AIn 2, </t>
  </si>
  <si>
    <t xml:space="preserve">DOut 2, </t>
  </si>
  <si>
    <t xml:space="preserve">AIn 4, </t>
  </si>
  <si>
    <t xml:space="preserve">DIn 4, </t>
  </si>
  <si>
    <t xml:space="preserve">DOut 4, </t>
  </si>
  <si>
    <t xml:space="preserve">DIn 2, </t>
  </si>
  <si>
    <t>LoRaWAN + Bluetooth Low Energy</t>
  </si>
  <si>
    <t>Длина кабеля</t>
  </si>
  <si>
    <t>Рабочие условия эксплуатации</t>
  </si>
  <si>
    <t>от -40 до +60 °C (индустриальный температурный диапазон)</t>
  </si>
  <si>
    <t>от -52 до +60 °C (низкотемпературный диапазон)</t>
  </si>
  <si>
    <t>, Н</t>
  </si>
  <si>
    <t>от -56 до +60 °C (расширенный низкотемпературный диапазон)</t>
  </si>
  <si>
    <t>, РН</t>
  </si>
  <si>
    <t>Разъём для подключения блока питания "Автон"</t>
  </si>
  <si>
    <t>2 аналоговых входа</t>
  </si>
  <si>
    <t>2 цифровых входа</t>
  </si>
  <si>
    <t>2 цифровых выхода</t>
  </si>
  <si>
    <t>2 аналогоых входа, 2 цифровых входа</t>
  </si>
  <si>
    <t>2 аналоговых входа, 2 цифровых выхода</t>
  </si>
  <si>
    <t>2 цифровых входа, 2 цифровых выхода</t>
  </si>
  <si>
    <t>4 аналоговых входа</t>
  </si>
  <si>
    <t>4 цифровых входа</t>
  </si>
  <si>
    <t>4 цифровых выхода</t>
  </si>
  <si>
    <t>Коммутационная коробка</t>
  </si>
  <si>
    <t>Справка</t>
  </si>
  <si>
    <t>Внешний вид шлюзов</t>
  </si>
  <si>
    <t>Шлюз "Автон"</t>
  </si>
  <si>
    <t>Шлюз с блоком питания "Автон"</t>
  </si>
  <si>
    <t>Шлюз с блоком питания и клеммным отсеком "Автон"</t>
  </si>
  <si>
    <t>Шлюз с клеммным отсеком "Автон"</t>
  </si>
  <si>
    <t>История изменений:</t>
  </si>
  <si>
    <t>Добавила выбор исполнений A515-20, A515-30, A515-40.
Добавила номер версии на первую страницу.</t>
  </si>
  <si>
    <t>Антенна</t>
  </si>
  <si>
    <t>Добавила артикул антенны YNX-BLG-868.</t>
  </si>
  <si>
    <t>стационарное 24В</t>
  </si>
  <si>
    <t>стационарное 220В</t>
  </si>
  <si>
    <t>встроенная</t>
  </si>
  <si>
    <t>для помещений</t>
  </si>
  <si>
    <t>для наружной установки</t>
  </si>
  <si>
    <t>еркр</t>
  </si>
  <si>
    <t>Убрала шлюз автономный в отдельный ОЛ. 
Убрала Bluetooth, т.к. описываемы емодификации шлюза не работают с беспроводными датчиками.
Убрала версии с GSM, добавила NB-IoT.
В модификациях 515-20/30/40 внешняя антена - не опция, а константа.</t>
  </si>
  <si>
    <t xml:space="preserve">Опросный лист на Шлюз многоканальный "Автон" </t>
  </si>
  <si>
    <t>Переименовала в Шлюзы многоканальные. Убрала возможность выбора шлюза только с RS485, т.к. такая опция перенесена в одноканальную версию шлюза.</t>
  </si>
  <si>
    <t>Убрала элементы ActiveX.</t>
  </si>
  <si>
    <t>NITSA-7</t>
  </si>
  <si>
    <t>Антенны</t>
  </si>
  <si>
    <t>Исключила наименование Антенны из ОЛ.
Вынесла наименование и эскиз антенны на справочную страницу ОЛ.
Добавила пометку о подключении ко входу Ain.</t>
  </si>
  <si>
    <t>Сжатие изображений.</t>
  </si>
  <si>
    <t>Версия: 26.06.2025</t>
  </si>
  <si>
    <t>Внесла изменения в связи с изменением характеристик в 1С.</t>
  </si>
  <si>
    <t xml:space="preserve">RS485+BLE, </t>
  </si>
  <si>
    <t xml:space="preserve">AIn 2+DIn 2, </t>
  </si>
  <si>
    <t xml:space="preserve">AIn 2+DOut 2, </t>
  </si>
  <si>
    <t xml:space="preserve">DIn 2+DOut 2,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</si>
</sst>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color rgb="FF1E1E1E"/>
      <name val="Segoe UI"/>
      <family val="2"/>
      <charset val="204"/>
    </font>
    <font>
      <sz val="12"/>
      <color theme="0"/>
      <name val="Calibri"/>
      <family val="2"/>
      <charset val="204"/>
      <scheme val="minor"/>
    </font>
    <font>
      <b/>
      <sz val="12"/>
      <color rgb="FF1E1E1E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i/>
      <u/>
      <sz val="12"/>
      <color theme="0"/>
      <name val="Calibri"/>
      <family val="2"/>
      <charset val="204"/>
      <scheme val="minor"/>
    </font>
    <font>
      <b/>
      <i/>
      <u/>
      <sz val="12"/>
      <color theme="9" tint="-0.249977111117893"/>
      <name val="Calibri"/>
      <family val="2"/>
      <charset val="204"/>
      <scheme val="minor"/>
    </font>
    <font>
      <sz val="10"/>
      <color theme="0" tint="-0.34998626667073579"/>
      <name val="Arial Cyr"/>
      <charset val="204"/>
    </font>
    <font>
      <b/>
      <sz val="10"/>
      <color theme="0" tint="-0.34998626667073579"/>
      <name val="Arial Cyr"/>
      <charset val="204"/>
    </font>
    <font>
      <sz val="12"/>
      <color theme="0" tint="-0.34998626667073579"/>
      <name val="Calibri"/>
      <family val="2"/>
      <charset val="204"/>
      <scheme val="minor"/>
    </font>
    <font>
      <b/>
      <sz val="14"/>
      <name val="Arial Cyr"/>
      <charset val="204"/>
    </font>
    <font>
      <b/>
      <sz val="10"/>
      <name val="Arial Cyr"/>
      <charset val="204"/>
    </font>
    <font>
      <b/>
      <sz val="12"/>
      <color theme="0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0" tint="-0.14996795556505021"/>
      </right>
      <top style="medium">
        <color theme="0" tint="-0.499984740745262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14996795556505021"/>
      </bottom>
      <diagonal/>
    </border>
    <border>
      <left/>
      <right/>
      <top style="medium">
        <color theme="0" tint="-0.49998474074526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theme="0" tint="-0.499984740745262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17">
      <alignment horizontal="left" vertical="center"/>
      <protection locked="0" hidden="1"/>
    </xf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vertical="top" wrapText="1"/>
    </xf>
    <xf numFmtId="0" fontId="0" fillId="0" borderId="0" xfId="0" applyNumberFormat="1"/>
    <xf numFmtId="0" fontId="2" fillId="0" borderId="0" xfId="0" applyFont="1" applyAlignment="1">
      <alignment horizontal="right" vertical="top" wrapText="1"/>
    </xf>
    <xf numFmtId="0" fontId="0" fillId="3" borderId="0" xfId="0" applyFill="1"/>
    <xf numFmtId="0" fontId="2" fillId="3" borderId="0" xfId="0" applyFont="1" applyFill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quotePrefix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3" borderId="0" xfId="0" quotePrefix="1" applyFill="1"/>
    <xf numFmtId="0" fontId="2" fillId="3" borderId="0" xfId="0" applyFont="1" applyFill="1" applyAlignment="1">
      <alignment wrapText="1"/>
    </xf>
    <xf numFmtId="0" fontId="0" fillId="0" borderId="0" xfId="0" applyAlignment="1"/>
    <xf numFmtId="0" fontId="0" fillId="0" borderId="1" xfId="0" applyBorder="1" applyAlignment="1">
      <alignment horizontal="left"/>
    </xf>
    <xf numFmtId="0" fontId="2" fillId="3" borderId="0" xfId="0" applyFont="1" applyFill="1" applyAlignment="1">
      <alignment vertical="top" wrapText="1"/>
    </xf>
    <xf numFmtId="0" fontId="0" fillId="0" borderId="0" xfId="0" applyBorder="1" applyAlignment="1">
      <alignment horizontal="left"/>
    </xf>
    <xf numFmtId="0" fontId="2" fillId="0" borderId="0" xfId="0" applyFont="1" applyFill="1" applyAlignment="1">
      <alignment vertical="top" wrapText="1"/>
    </xf>
    <xf numFmtId="0" fontId="0" fillId="0" borderId="2" xfId="0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0" xfId="0" quotePrefix="1" applyBorder="1" applyAlignment="1"/>
    <xf numFmtId="0" fontId="0" fillId="0" borderId="0" xfId="0" quotePrefix="1" applyBorder="1" applyAlignment="1">
      <alignment horizontal="left"/>
    </xf>
    <xf numFmtId="0" fontId="0" fillId="0" borderId="0" xfId="0" applyBorder="1"/>
    <xf numFmtId="0" fontId="0" fillId="0" borderId="0" xfId="0" quotePrefix="1" applyBorder="1" applyAlignment="1">
      <alignment horizontal="right"/>
    </xf>
    <xf numFmtId="0" fontId="0" fillId="0" borderId="0" xfId="0" quotePrefix="1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right"/>
    </xf>
    <xf numFmtId="0" fontId="6" fillId="0" borderId="0" xfId="0" applyFont="1" applyAlignment="1">
      <alignment horizontal="left"/>
    </xf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4" fillId="0" borderId="5" xfId="0" applyFont="1" applyBorder="1"/>
    <xf numFmtId="0" fontId="2" fillId="0" borderId="7" xfId="0" applyFont="1" applyBorder="1"/>
    <xf numFmtId="0" fontId="2" fillId="3" borderId="8" xfId="0" applyFont="1" applyFill="1" applyBorder="1"/>
    <xf numFmtId="0" fontId="7" fillId="0" borderId="5" xfId="0" applyFont="1" applyBorder="1" applyAlignment="1">
      <alignment vertical="center"/>
    </xf>
    <xf numFmtId="0" fontId="2" fillId="2" borderId="0" xfId="0" applyFont="1" applyFill="1"/>
    <xf numFmtId="0" fontId="8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2" fillId="0" borderId="6" xfId="0" applyFont="1" applyFill="1" applyBorder="1"/>
    <xf numFmtId="0" fontId="2" fillId="3" borderId="10" xfId="0" applyFont="1" applyFill="1" applyBorder="1"/>
    <xf numFmtId="0" fontId="6" fillId="0" borderId="0" xfId="0" applyFont="1" applyAlignment="1">
      <alignment horizontal="left" vertical="top"/>
    </xf>
    <xf numFmtId="0" fontId="2" fillId="3" borderId="0" xfId="0" applyFont="1" applyFill="1" applyAlignment="1">
      <alignment horizontal="right" wrapText="1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right" vertical="top" wrapText="1"/>
    </xf>
    <xf numFmtId="0" fontId="0" fillId="3" borderId="0" xfId="0" applyNumberFormat="1" applyFill="1"/>
    <xf numFmtId="0" fontId="0" fillId="5" borderId="0" xfId="0" applyFill="1"/>
    <xf numFmtId="0" fontId="2" fillId="0" borderId="0" xfId="0" applyFont="1" applyFill="1"/>
    <xf numFmtId="0" fontId="0" fillId="0" borderId="4" xfId="0" applyNumberFormat="1" applyBorder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NumberFormat="1" applyAlignment="1"/>
    <xf numFmtId="0" fontId="0" fillId="3" borderId="0" xfId="0" applyFont="1" applyFill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left"/>
    </xf>
    <xf numFmtId="0" fontId="10" fillId="3" borderId="0" xfId="0" applyFont="1" applyFill="1"/>
    <xf numFmtId="0" fontId="12" fillId="3" borderId="0" xfId="0" applyFont="1" applyFill="1" applyAlignment="1">
      <alignment horizontal="left"/>
    </xf>
    <xf numFmtId="0" fontId="12" fillId="3" borderId="0" xfId="0" applyFont="1" applyFill="1"/>
    <xf numFmtId="0" fontId="12" fillId="0" borderId="0" xfId="0" applyFont="1" applyAlignment="1">
      <alignment horizontal="right"/>
    </xf>
    <xf numFmtId="0" fontId="10" fillId="0" borderId="0" xfId="0" quotePrefix="1" applyFont="1" applyAlignment="1">
      <alignment horizontal="left"/>
    </xf>
    <xf numFmtId="0" fontId="0" fillId="3" borderId="0" xfId="0" applyNumberFormat="1" applyFont="1" applyFill="1" applyAlignment="1">
      <alignment horizontal="right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2" fillId="0" borderId="5" xfId="0" applyFont="1" applyBorder="1" applyAlignment="1" applyProtection="1">
      <protection hidden="1"/>
    </xf>
    <xf numFmtId="0" fontId="2" fillId="0" borderId="5" xfId="0" applyFont="1" applyBorder="1" applyProtection="1"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0" xfId="0" applyFont="1" applyBorder="1" applyProtection="1">
      <protection hidden="1"/>
    </xf>
    <xf numFmtId="0" fontId="2" fillId="0" borderId="5" xfId="0" applyFont="1" applyBorder="1" applyAlignment="1" applyProtection="1">
      <alignment vertical="top"/>
      <protection hidden="1"/>
    </xf>
    <xf numFmtId="0" fontId="2" fillId="0" borderId="7" xfId="0" applyFont="1" applyBorder="1" applyProtection="1">
      <protection hidden="1"/>
    </xf>
    <xf numFmtId="0" fontId="2" fillId="3" borderId="8" xfId="0" applyFont="1" applyFill="1" applyBorder="1" applyProtection="1">
      <protection hidden="1"/>
    </xf>
    <xf numFmtId="0" fontId="2" fillId="3" borderId="11" xfId="0" applyFont="1" applyFill="1" applyBorder="1" applyProtection="1">
      <protection hidden="1"/>
    </xf>
    <xf numFmtId="0" fontId="2" fillId="3" borderId="9" xfId="0" applyFont="1" applyFill="1" applyBorder="1" applyProtection="1">
      <protection hidden="1"/>
    </xf>
    <xf numFmtId="0" fontId="2" fillId="3" borderId="12" xfId="0" applyFont="1" applyFill="1" applyBorder="1" applyProtection="1">
      <protection hidden="1"/>
    </xf>
    <xf numFmtId="0" fontId="15" fillId="6" borderId="15" xfId="0" applyFont="1" applyFill="1" applyBorder="1" applyAlignment="1">
      <alignment horizontal="right" vertical="center"/>
    </xf>
    <xf numFmtId="0" fontId="4" fillId="0" borderId="5" xfId="0" applyFont="1" applyBorder="1" applyProtection="1">
      <protection locked="0" hidden="1"/>
    </xf>
    <xf numFmtId="0" fontId="2" fillId="0" borderId="5" xfId="0" applyFont="1" applyBorder="1" applyProtection="1">
      <protection locked="0" hidden="1"/>
    </xf>
    <xf numFmtId="0" fontId="2" fillId="0" borderId="5" xfId="0" applyFont="1" applyBorder="1" applyProtection="1">
      <protection locked="0"/>
    </xf>
    <xf numFmtId="0" fontId="8" fillId="0" borderId="5" xfId="0" applyFont="1" applyFill="1" applyBorder="1" applyAlignment="1" applyProtection="1">
      <alignment vertical="center"/>
      <protection locked="0" hidden="1"/>
    </xf>
    <xf numFmtId="0" fontId="9" fillId="0" borderId="5" xfId="0" applyFont="1" applyFill="1" applyBorder="1" applyAlignment="1" applyProtection="1">
      <alignment vertical="center"/>
      <protection locked="0" hidden="1"/>
    </xf>
    <xf numFmtId="0" fontId="6" fillId="0" borderId="0" xfId="0" applyFont="1" applyAlignment="1">
      <alignment horizontal="right"/>
    </xf>
    <xf numFmtId="14" fontId="2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right"/>
    </xf>
    <xf numFmtId="0" fontId="2" fillId="0" borderId="0" xfId="0" applyFont="1" applyFill="1" applyBorder="1"/>
    <xf numFmtId="0" fontId="2" fillId="0" borderId="18" xfId="0" applyFont="1" applyBorder="1"/>
    <xf numFmtId="0" fontId="2" fillId="0" borderId="6" xfId="0" applyFont="1" applyBorder="1"/>
    <xf numFmtId="0" fontId="4" fillId="0" borderId="7" xfId="0" applyFont="1" applyBorder="1" applyProtection="1">
      <protection locked="0" hidden="1"/>
    </xf>
    <xf numFmtId="0" fontId="4" fillId="0" borderId="19" xfId="0" applyFont="1" applyBorder="1" applyProtection="1">
      <protection locked="0" hidden="1"/>
    </xf>
    <xf numFmtId="0" fontId="2" fillId="0" borderId="17" xfId="0" applyFont="1" applyBorder="1" applyAlignment="1" applyProtection="1">
      <alignment horizontal="left" vertical="center"/>
      <protection locked="0" hidden="1"/>
    </xf>
    <xf numFmtId="0" fontId="2" fillId="0" borderId="17" xfId="1">
      <alignment horizontal="left" vertical="center"/>
      <protection locked="0" hidden="1"/>
    </xf>
    <xf numFmtId="0" fontId="0" fillId="0" borderId="0" xfId="0" applyFont="1" applyAlignment="1">
      <alignment vertical="top"/>
    </xf>
    <xf numFmtId="0" fontId="16" fillId="0" borderId="5" xfId="0" applyFont="1" applyBorder="1" applyAlignment="1" applyProtection="1">
      <alignment vertical="top"/>
      <protection hidden="1"/>
    </xf>
    <xf numFmtId="0" fontId="2" fillId="4" borderId="8" xfId="0" applyFont="1" applyFill="1" applyBorder="1" applyAlignment="1" applyProtection="1">
      <alignment horizontal="left" vertical="top" wrapText="1"/>
      <protection hidden="1"/>
    </xf>
    <xf numFmtId="0" fontId="2" fillId="4" borderId="13" xfId="0" applyFont="1" applyFill="1" applyBorder="1" applyAlignment="1" applyProtection="1">
      <alignment horizontal="left" vertical="top" wrapText="1"/>
      <protection hidden="1"/>
    </xf>
    <xf numFmtId="0" fontId="2" fillId="4" borderId="16" xfId="0" applyFont="1" applyFill="1" applyBorder="1" applyAlignment="1" applyProtection="1">
      <alignment horizontal="left" vertical="top" wrapText="1"/>
      <protection hidden="1"/>
    </xf>
    <xf numFmtId="0" fontId="2" fillId="4" borderId="14" xfId="0" applyFont="1" applyFill="1" applyBorder="1" applyAlignment="1" applyProtection="1">
      <alignment horizontal="left" vertical="top" wrapText="1"/>
      <protection hidden="1"/>
    </xf>
    <xf numFmtId="0" fontId="2" fillId="4" borderId="8" xfId="0" applyFont="1" applyFill="1" applyBorder="1" applyAlignment="1" applyProtection="1">
      <alignment horizontal="left" vertical="top"/>
      <protection hidden="1"/>
    </xf>
    <xf numFmtId="0" fontId="2" fillId="0" borderId="15" xfId="0" applyFont="1" applyBorder="1" applyAlignment="1">
      <alignment horizontal="center"/>
    </xf>
    <xf numFmtId="0" fontId="2" fillId="0" borderId="20" xfId="1" applyBorder="1" applyAlignment="1">
      <alignment horizontal="left" vertical="top"/>
      <protection locked="0" hidden="1"/>
    </xf>
    <xf numFmtId="0" fontId="2" fillId="0" borderId="21" xfId="1" applyBorder="1" applyAlignment="1">
      <alignment horizontal="left" vertical="top"/>
      <protection locked="0" hidden="1"/>
    </xf>
    <xf numFmtId="0" fontId="2" fillId="0" borderId="22" xfId="1" applyBorder="1" applyAlignment="1">
      <alignment horizontal="left" vertical="top"/>
      <protection locked="0" hidden="1"/>
    </xf>
    <xf numFmtId="0" fontId="2" fillId="0" borderId="17" xfId="1">
      <alignment horizontal="left" vertical="center"/>
      <protection locked="0" hidden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3" borderId="0" xfId="0" applyFont="1" applyFill="1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2">
    <cellStyle name="Обычный" xfId="0" builtinId="0"/>
    <cellStyle name="Поле ввода" xfId="1"/>
  </cellStyles>
  <dxfs count="39"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 tint="-0.34998626667073579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 tint="-0.34998626667073579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 tint="-0.34998626667073579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 tint="-0.34998626667073579"/>
      </font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border outline="0">
        <right style="thin">
          <color indexed="64"/>
        </right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Lines="10" dropStyle="combo" dx="16" fmlaLink="Лист1!$A$53" fmlaRange="Лист1!$D$54:$D$55" noThreeD="1" val="0"/>
</file>

<file path=xl/ctrlProps/ctrlProp10.xml><?xml version="1.0" encoding="utf-8"?>
<formControlPr xmlns="http://schemas.microsoft.com/office/spreadsheetml/2009/9/main" objectType="Drop" dropLines="10" dropStyle="combo" dx="16" fmlaLink="Лист1!$A$58" fmlaRange="Лист1!$D$59:$D$59" noThreeD="1" val="0"/>
</file>

<file path=xl/ctrlProps/ctrlProp2.xml><?xml version="1.0" encoding="utf-8"?>
<formControlPr xmlns="http://schemas.microsoft.com/office/spreadsheetml/2009/9/main" objectType="Drop" dropLines="10" dropStyle="combo" dx="16" fmlaLink="Лист1!$A$8" fmlaRange="Лист1!$D$9:$D$9" noThreeD="1" val="0"/>
</file>

<file path=xl/ctrlProps/ctrlProp3.xml><?xml version="1.0" encoding="utf-8"?>
<formControlPr xmlns="http://schemas.microsoft.com/office/spreadsheetml/2009/9/main" objectType="Drop" dropLines="10" dropStyle="combo" dx="16" fmlaLink="Лист1!$A$13" fmlaRange="Лист1!$D$14:$D$22" noThreeD="1" sel="2" val="0"/>
</file>

<file path=xl/ctrlProps/ctrlProp4.xml><?xml version="1.0" encoding="utf-8"?>
<formControlPr xmlns="http://schemas.microsoft.com/office/spreadsheetml/2009/9/main" objectType="Drop" dropLines="10" dropStyle="combo" dx="16" fmlaLink="Лист1!$A$25" fmlaRange="Лист1!$D$26:$D$27" noThreeD="1" val="0"/>
</file>

<file path=xl/ctrlProps/ctrlProp5.xml><?xml version="1.0" encoding="utf-8"?>
<formControlPr xmlns="http://schemas.microsoft.com/office/spreadsheetml/2009/9/main" objectType="Drop" dropLines="10" dropStyle="combo" dx="16" fmlaLink="Лист1!$A$47" fmlaRange="Лист1!$D$47:$D$50" noThreeD="1" val="0"/>
</file>

<file path=xl/ctrlProps/ctrlProp6.xml><?xml version="1.0" encoding="utf-8"?>
<formControlPr xmlns="http://schemas.microsoft.com/office/spreadsheetml/2009/9/main" objectType="Drop" dropLines="10" dropStyle="combo" dx="16" fmlaLink="Лист1!$A$30" fmlaRange="Лист1!$D$31:$D$32" noThreeD="1" sel="2" val="0"/>
</file>

<file path=xl/ctrlProps/ctrlProp7.xml><?xml version="1.0" encoding="utf-8"?>
<formControlPr xmlns="http://schemas.microsoft.com/office/spreadsheetml/2009/9/main" objectType="Drop" dropLines="10" dropStyle="combo" dx="16" fmlaLink="Лист1!$A$68" fmlaRange="Лист1!$D$69:$D$71" noThreeD="1" val="0"/>
</file>

<file path=xl/ctrlProps/ctrlProp8.xml><?xml version="1.0" encoding="utf-8"?>
<formControlPr xmlns="http://schemas.microsoft.com/office/spreadsheetml/2009/9/main" objectType="Drop" dropLines="10" dropStyle="combo" dx="16" fmlaLink="Лист1!$A$42" fmlaRange="Лист1!$D$43:$D$44" noThreeD="1" val="0"/>
</file>

<file path=xl/ctrlProps/ctrlProp9.xml><?xml version="1.0" encoding="utf-8"?>
<formControlPr xmlns="http://schemas.microsoft.com/office/spreadsheetml/2009/9/main" objectType="Drop" dropLines="10" dropStyle="combo" dx="16" fmlaLink="Лист1!$A$35" fmlaRange="Лист1!$D$36:$D$39" noThreeD="1" sel="4" val="0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</xdr:row>
          <xdr:rowOff>28575</xdr:rowOff>
        </xdr:from>
        <xdr:to>
          <xdr:col>7</xdr:col>
          <xdr:colOff>2847975</xdr:colOff>
          <xdr:row>17</xdr:row>
          <xdr:rowOff>295275</xdr:rowOff>
        </xdr:to>
        <xdr:sp macro="" textlink="">
          <xdr:nvSpPr>
            <xdr:cNvPr id="2151" name="Drop Down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</xdr:row>
          <xdr:rowOff>28575</xdr:rowOff>
        </xdr:from>
        <xdr:to>
          <xdr:col>7</xdr:col>
          <xdr:colOff>2847975</xdr:colOff>
          <xdr:row>3</xdr:row>
          <xdr:rowOff>295275</xdr:rowOff>
        </xdr:to>
        <xdr:sp macro="" textlink="">
          <xdr:nvSpPr>
            <xdr:cNvPr id="2154" name="Drop Down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</xdr:row>
          <xdr:rowOff>28575</xdr:rowOff>
        </xdr:from>
        <xdr:to>
          <xdr:col>7</xdr:col>
          <xdr:colOff>2847975</xdr:colOff>
          <xdr:row>5</xdr:row>
          <xdr:rowOff>295275</xdr:rowOff>
        </xdr:to>
        <xdr:sp macro="" textlink="">
          <xdr:nvSpPr>
            <xdr:cNvPr id="2156" name="Drop Down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7</xdr:row>
          <xdr:rowOff>19050</xdr:rowOff>
        </xdr:from>
        <xdr:to>
          <xdr:col>7</xdr:col>
          <xdr:colOff>2847975</xdr:colOff>
          <xdr:row>7</xdr:row>
          <xdr:rowOff>285750</xdr:rowOff>
        </xdr:to>
        <xdr:sp macro="" textlink="">
          <xdr:nvSpPr>
            <xdr:cNvPr id="2159" name="Drop Down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</xdr:row>
          <xdr:rowOff>28575</xdr:rowOff>
        </xdr:from>
        <xdr:to>
          <xdr:col>7</xdr:col>
          <xdr:colOff>2847975</xdr:colOff>
          <xdr:row>15</xdr:row>
          <xdr:rowOff>295275</xdr:rowOff>
        </xdr:to>
        <xdr:sp macro="" textlink="">
          <xdr:nvSpPr>
            <xdr:cNvPr id="2162" name="Drop Down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</xdr:row>
          <xdr:rowOff>19050</xdr:rowOff>
        </xdr:from>
        <xdr:to>
          <xdr:col>7</xdr:col>
          <xdr:colOff>2847975</xdr:colOff>
          <xdr:row>9</xdr:row>
          <xdr:rowOff>285750</xdr:rowOff>
        </xdr:to>
        <xdr:sp macro="" textlink="">
          <xdr:nvSpPr>
            <xdr:cNvPr id="2163" name="Drop Down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21</xdr:row>
          <xdr:rowOff>19050</xdr:rowOff>
        </xdr:from>
        <xdr:to>
          <xdr:col>7</xdr:col>
          <xdr:colOff>2847975</xdr:colOff>
          <xdr:row>21</xdr:row>
          <xdr:rowOff>285750</xdr:rowOff>
        </xdr:to>
        <xdr:sp macro="" textlink="">
          <xdr:nvSpPr>
            <xdr:cNvPr id="2164" name="Drop Down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</xdr:row>
          <xdr:rowOff>28575</xdr:rowOff>
        </xdr:from>
        <xdr:to>
          <xdr:col>7</xdr:col>
          <xdr:colOff>2847975</xdr:colOff>
          <xdr:row>13</xdr:row>
          <xdr:rowOff>295275</xdr:rowOff>
        </xdr:to>
        <xdr:sp macro="" textlink="">
          <xdr:nvSpPr>
            <xdr:cNvPr id="2167" name="Drop Down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</xdr:row>
          <xdr:rowOff>19050</xdr:rowOff>
        </xdr:from>
        <xdr:to>
          <xdr:col>7</xdr:col>
          <xdr:colOff>2847975</xdr:colOff>
          <xdr:row>11</xdr:row>
          <xdr:rowOff>285750</xdr:rowOff>
        </xdr:to>
        <xdr:sp macro="" textlink="">
          <xdr:nvSpPr>
            <xdr:cNvPr id="2168" name="Drop Down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</xdr:row>
          <xdr:rowOff>28575</xdr:rowOff>
        </xdr:from>
        <xdr:to>
          <xdr:col>7</xdr:col>
          <xdr:colOff>2847975</xdr:colOff>
          <xdr:row>19</xdr:row>
          <xdr:rowOff>295275</xdr:rowOff>
        </xdr:to>
        <xdr:sp macro="" textlink="">
          <xdr:nvSpPr>
            <xdr:cNvPr id="2169" name="Drop Down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92850</xdr:colOff>
      <xdr:row>5</xdr:row>
      <xdr:rowOff>35699</xdr:rowOff>
    </xdr:from>
    <xdr:to>
      <xdr:col>1</xdr:col>
      <xdr:colOff>3118677</xdr:colOff>
      <xdr:row>5</xdr:row>
      <xdr:rowOff>1990724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075" y="1026299"/>
          <a:ext cx="3025827" cy="1955025"/>
        </a:xfrm>
        <a:prstGeom prst="rect">
          <a:avLst/>
        </a:prstGeom>
      </xdr:spPr>
    </xdr:pic>
    <xdr:clientData/>
  </xdr:twoCellAnchor>
  <xdr:twoCellAnchor editAs="oneCell">
    <xdr:from>
      <xdr:col>1</xdr:col>
      <xdr:colOff>509550</xdr:colOff>
      <xdr:row>7</xdr:row>
      <xdr:rowOff>52350</xdr:rowOff>
    </xdr:from>
    <xdr:to>
      <xdr:col>1</xdr:col>
      <xdr:colOff>2762250</xdr:colOff>
      <xdr:row>7</xdr:row>
      <xdr:rowOff>2020016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5775" y="3252750"/>
          <a:ext cx="2252700" cy="1967666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581026</xdr:colOff>
      <xdr:row>9</xdr:row>
      <xdr:rowOff>28576</xdr:rowOff>
    </xdr:from>
    <xdr:to>
      <xdr:col>1</xdr:col>
      <xdr:colOff>2906092</xdr:colOff>
      <xdr:row>9</xdr:row>
      <xdr:rowOff>2009776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1" y="5438776"/>
          <a:ext cx="2325066" cy="1981200"/>
        </a:xfrm>
        <a:prstGeom prst="rect">
          <a:avLst/>
        </a:prstGeom>
      </xdr:spPr>
    </xdr:pic>
    <xdr:clientData/>
  </xdr:twoCellAnchor>
  <xdr:twoCellAnchor editAs="oneCell">
    <xdr:from>
      <xdr:col>1</xdr:col>
      <xdr:colOff>416700</xdr:colOff>
      <xdr:row>11</xdr:row>
      <xdr:rowOff>35701</xdr:rowOff>
    </xdr:from>
    <xdr:to>
      <xdr:col>1</xdr:col>
      <xdr:colOff>2992614</xdr:colOff>
      <xdr:row>11</xdr:row>
      <xdr:rowOff>1981201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925" y="7655701"/>
          <a:ext cx="2575914" cy="19455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15</xdr:row>
      <xdr:rowOff>57150</xdr:rowOff>
    </xdr:from>
    <xdr:to>
      <xdr:col>1</xdr:col>
      <xdr:colOff>2090631</xdr:colOff>
      <xdr:row>15</xdr:row>
      <xdr:rowOff>3362325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3375" y="10325100"/>
          <a:ext cx="2033481" cy="3305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Projects/A8x5/Doc/A835%20&#1058;&#1077;&#1088;&#1084;&#1086;&#1084;&#1072;&#1085;&#1086;&#1084;&#1077;&#1090;&#1088;.&#1054;&#1087;&#1088;&#1086;&#1089;&#1085;&#1099;&#1081;%20&#1083;&#1080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осный лист термоманометр"/>
      <sheetName val="Справка"/>
      <sheetName val="Лист1"/>
    </sheetNames>
    <sheetDataSet>
      <sheetData sheetId="0">
        <row r="4">
          <cell r="L4">
            <v>0.6</v>
          </cell>
        </row>
        <row r="5">
          <cell r="L5">
            <v>1</v>
          </cell>
        </row>
        <row r="6">
          <cell r="L6">
            <v>1.6</v>
          </cell>
        </row>
        <row r="7">
          <cell r="L7">
            <v>2.5</v>
          </cell>
        </row>
        <row r="8">
          <cell r="L8">
            <v>4</v>
          </cell>
        </row>
        <row r="9">
          <cell r="L9">
            <v>6</v>
          </cell>
        </row>
        <row r="10">
          <cell r="L10">
            <v>10</v>
          </cell>
        </row>
        <row r="11">
          <cell r="L11">
            <v>16</v>
          </cell>
        </row>
        <row r="12">
          <cell r="L12">
            <v>25</v>
          </cell>
        </row>
        <row r="13">
          <cell r="L13">
            <v>40</v>
          </cell>
        </row>
        <row r="14">
          <cell r="L14">
            <v>60</v>
          </cell>
        </row>
        <row r="15">
          <cell r="L15" t="str">
            <v>другое</v>
          </cell>
        </row>
        <row r="17">
          <cell r="L17">
            <v>0.15</v>
          </cell>
        </row>
        <row r="18">
          <cell r="L18">
            <v>0.25</v>
          </cell>
        </row>
        <row r="19">
          <cell r="L19">
            <v>0.5</v>
          </cell>
        </row>
        <row r="20">
          <cell r="L20">
            <v>1</v>
          </cell>
        </row>
        <row r="21">
          <cell r="L21">
            <v>1.5</v>
          </cell>
        </row>
        <row r="22">
          <cell r="L22" t="str">
            <v>другое</v>
          </cell>
        </row>
        <row r="24">
          <cell r="I24">
            <v>1</v>
          </cell>
        </row>
        <row r="25">
          <cell r="L25" t="str">
            <v>корпус датчика</v>
          </cell>
        </row>
        <row r="26">
          <cell r="L26" t="str">
            <v>встроенный погружной термощуп (жидкость или газ)</v>
          </cell>
        </row>
        <row r="27">
          <cell r="L27" t="str">
            <v>выносной погружной термощуп (жидкость или газ)</v>
          </cell>
        </row>
        <row r="36">
          <cell r="L36">
            <v>0.5</v>
          </cell>
          <cell r="M36">
            <v>0.5</v>
          </cell>
          <cell r="N36">
            <v>2</v>
          </cell>
        </row>
        <row r="37">
          <cell r="L37">
            <v>1</v>
          </cell>
          <cell r="M37">
            <v>1</v>
          </cell>
          <cell r="N37">
            <v>1</v>
          </cell>
        </row>
        <row r="38">
          <cell r="L38">
            <v>2</v>
          </cell>
          <cell r="M38">
            <v>2</v>
          </cell>
          <cell r="N38" t="str">
            <v>0.5</v>
          </cell>
        </row>
        <row r="40">
          <cell r="M40">
            <v>46</v>
          </cell>
          <cell r="N40">
            <v>46</v>
          </cell>
        </row>
        <row r="41">
          <cell r="M41">
            <v>64</v>
          </cell>
          <cell r="N41">
            <v>64</v>
          </cell>
        </row>
        <row r="42">
          <cell r="M42">
            <v>100</v>
          </cell>
          <cell r="N42">
            <v>100</v>
          </cell>
        </row>
        <row r="43">
          <cell r="M43" t="str">
            <v>другая</v>
          </cell>
          <cell r="N43" t="str">
            <v>другая</v>
          </cell>
        </row>
        <row r="45">
          <cell r="M45">
            <v>5</v>
          </cell>
          <cell r="N45">
            <v>5</v>
          </cell>
        </row>
        <row r="46">
          <cell r="M46">
            <v>6</v>
          </cell>
          <cell r="N46">
            <v>6</v>
          </cell>
        </row>
        <row r="47">
          <cell r="M47">
            <v>8</v>
          </cell>
          <cell r="N47">
            <v>8</v>
          </cell>
        </row>
        <row r="48">
          <cell r="M48">
            <v>10</v>
          </cell>
          <cell r="N48">
            <v>10</v>
          </cell>
        </row>
        <row r="49">
          <cell r="M49" t="str">
            <v>другой</v>
          </cell>
          <cell r="N49" t="str">
            <v>другой</v>
          </cell>
        </row>
        <row r="51">
          <cell r="N51" t="str">
            <v>штуцер подвижный</v>
          </cell>
        </row>
        <row r="52">
          <cell r="N52" t="str">
            <v>штуцер приварной</v>
          </cell>
        </row>
        <row r="53">
          <cell r="N53" t="str">
            <v>штуцер подпружиненный</v>
          </cell>
        </row>
        <row r="54">
          <cell r="N54" t="str">
            <v>фланец</v>
          </cell>
        </row>
        <row r="55">
          <cell r="N55" t="str">
            <v>другой</v>
          </cell>
        </row>
        <row r="57">
          <cell r="N57" t="str">
            <v>бескорпусной с выводами</v>
          </cell>
        </row>
        <row r="58">
          <cell r="N58" t="str">
            <v>коммутационная (клеммная) головка</v>
          </cell>
        </row>
        <row r="59">
          <cell r="N59" t="str">
            <v>другой</v>
          </cell>
        </row>
        <row r="61">
          <cell r="N61">
            <v>1</v>
          </cell>
        </row>
        <row r="62">
          <cell r="N62">
            <v>1.5</v>
          </cell>
        </row>
        <row r="63">
          <cell r="N63">
            <v>2</v>
          </cell>
        </row>
        <row r="64">
          <cell r="N64">
            <v>2.5</v>
          </cell>
        </row>
        <row r="65">
          <cell r="N65">
            <v>3</v>
          </cell>
        </row>
        <row r="66">
          <cell r="N66">
            <v>4</v>
          </cell>
        </row>
        <row r="67">
          <cell r="N67">
            <v>5</v>
          </cell>
        </row>
        <row r="68">
          <cell r="N68">
            <v>7</v>
          </cell>
        </row>
        <row r="69">
          <cell r="N69">
            <v>10</v>
          </cell>
        </row>
        <row r="71">
          <cell r="N71" t="str">
            <v>без дополнительной защиты</v>
          </cell>
        </row>
        <row r="72">
          <cell r="N72" t="str">
            <v>труба гофрированная полимерная</v>
          </cell>
        </row>
        <row r="73">
          <cell r="N73" t="str">
            <v xml:space="preserve">другая </v>
          </cell>
        </row>
        <row r="75">
          <cell r="M75" t="str">
            <v>не требуется</v>
          </cell>
          <cell r="N75" t="str">
            <v>не требуется</v>
          </cell>
        </row>
        <row r="76">
          <cell r="M76" t="str">
            <v>М20х1.5</v>
          </cell>
          <cell r="N76" t="str">
            <v>М20х1.5</v>
          </cell>
        </row>
        <row r="77">
          <cell r="M77" t="str">
            <v>G1/2</v>
          </cell>
          <cell r="N77" t="str">
            <v>G1/2</v>
          </cell>
        </row>
        <row r="78">
          <cell r="M78" t="str">
            <v>другая</v>
          </cell>
          <cell r="N78" t="str">
            <v>другая</v>
          </cell>
        </row>
        <row r="80">
          <cell r="L80" t="str">
            <v>LoRaWAN</v>
          </cell>
        </row>
        <row r="81">
          <cell r="L81" t="str">
            <v>нет</v>
          </cell>
        </row>
        <row r="87">
          <cell r="L87" t="str">
            <v>обычное</v>
          </cell>
        </row>
        <row r="88">
          <cell r="L88" t="str">
            <v>коррозионно-стойкое</v>
          </cell>
        </row>
        <row r="90">
          <cell r="L90" t="str">
            <v>М20х1.5</v>
          </cell>
        </row>
        <row r="91">
          <cell r="L91" t="str">
            <v>G1/2</v>
          </cell>
        </row>
        <row r="92">
          <cell r="L92" t="str">
            <v>другая</v>
          </cell>
        </row>
        <row r="94">
          <cell r="L94" t="str">
            <v>не требуется</v>
          </cell>
        </row>
        <row r="95">
          <cell r="L95" t="str">
            <v>кронштейн Г-образный</v>
          </cell>
        </row>
        <row r="96">
          <cell r="L96" t="str">
            <v>отвод-охладитель</v>
          </cell>
        </row>
        <row r="97">
          <cell r="L97" t="str">
            <v>клапан, отвод-охладитель</v>
          </cell>
        </row>
        <row r="98">
          <cell r="L98" t="str">
            <v>блок вентильный, гильза защитная</v>
          </cell>
        </row>
        <row r="99">
          <cell r="L99" t="str">
            <v>другая</v>
          </cell>
        </row>
        <row r="101">
          <cell r="L101" t="str">
            <v>не требуется</v>
          </cell>
        </row>
        <row r="102">
          <cell r="L102" t="str">
            <v>требуется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2" name="Таблица2" displayName="Таблица2" ref="D25:D27" totalsRowShown="0" headerRowDxfId="38" dataDxfId="37">
  <autoFilter ref="D25:D27"/>
  <tableColumns count="1">
    <tableColumn id="1" name="Столбец1" dataDxfId="36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id="11" name="Таблица11" displayName="Таблица11" ref="D35:D39" totalsRowShown="0" headerRowDxfId="6" tableBorderDxfId="5">
  <autoFilter ref="D35:D39"/>
  <tableColumns count="1">
    <tableColumn id="1" name="Столбец1" dataDxfId="4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id="8" name="Таблица8" displayName="Таблица8" ref="D58:E59" totalsRowShown="0" headerRowDxfId="3" dataDxfId="2">
  <autoFilter ref="D58:E59"/>
  <tableColumns count="2">
    <tableColumn id="1" name="Столбец1" dataDxfId="1">
      <calculatedColumnFormula>IF(AND(OR(B30="встроенный",B35="встроенная"),C53="LoRa"),"антенна",IF(AND(OR(B30="встроенный",B35="встроенная"),C53="NB-IoT"),"внешняя антенна",""))</calculatedColumnFormula>
    </tableColumn>
    <tableColumn id="2" name="Столбец2" dataDxfId="0">
      <calculatedColumnFormula>IF(AND(OR(B30="встроенный",B35="встроенная"),C53="LoRa"),"Антенна",IF(AND(OR(B30="встроенный",B35="встроенная"),C53="NB-IoT"),"Внешняя антенна",""))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3" name="Таблица3" displayName="Таблица3" ref="D13:E22" totalsRowShown="0" headerRowDxfId="35">
  <autoFilter ref="D13:E22"/>
  <tableColumns count="2">
    <tableColumn id="1" name="Столбец1" dataDxfId="34"/>
    <tableColumn id="2" name="Столбец2" dataDxfId="33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4" name="Таблица4" displayName="Таблица4" ref="D8:E9" totalsRowShown="0" headerRowDxfId="32" dataDxfId="31">
  <autoFilter ref="D8:E9"/>
  <tableColumns count="2">
    <tableColumn id="1" name="Столбец1" dataDxfId="30"/>
    <tableColumn id="2" name="Столбец2" dataDxfId="29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5" name="Таблица5" displayName="Таблица5" ref="D46:E50" totalsRowShown="0" headerRowDxfId="28" dataDxfId="27">
  <autoFilter ref="D46:E50"/>
  <tableColumns count="2">
    <tableColumn id="1" name="Столбец1" dataDxfId="26"/>
    <tableColumn id="2" name="Столбец3" dataDxfId="25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7" name="Таблица7" displayName="Таблица7" ref="D53:E55" totalsRowShown="0" headerRowDxfId="24" dataDxfId="23">
  <autoFilter ref="D53:E55"/>
  <tableColumns count="2">
    <tableColumn id="1" name="Столбец1" dataDxfId="22"/>
    <tableColumn id="2" name="Столбец2" dataDxfId="21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id="9" name="Таблица9" displayName="Таблица9" ref="D30:D32" totalsRowShown="0" headerRowDxfId="20">
  <autoFilter ref="D30:D32"/>
  <tableColumns count="1">
    <tableColumn id="1" name="Столбец1" dataDxfId="19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id="10" name="Таблица10" displayName="Таблица10" ref="D68:E71" totalsRowShown="0" headerRowDxfId="18" dataDxfId="17" tableBorderDxfId="16">
  <autoFilter ref="D68:E71"/>
  <tableColumns count="2">
    <tableColumn id="1" name="Столбец1" dataDxfId="15"/>
    <tableColumn id="2" name="Столбец2" dataDxfId="14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6" name="Таблица6" displayName="Таблица6" ref="D62:E65" totalsRowShown="0" headerRowDxfId="13" dataDxfId="12">
  <autoFilter ref="D62:E65"/>
  <tableColumns count="2">
    <tableColumn id="1" name="Столбец1" dataDxfId="11"/>
    <tableColumn id="2" name="Столбец2" dataDxfId="10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id="1" name="Таблица92" displayName="Таблица92" ref="D42:E44" totalsRowShown="0" headerRowDxfId="9">
  <autoFilter ref="D42:E44"/>
  <tableColumns count="2">
    <tableColumn id="1" name="Столбец1" dataDxfId="8">
      <calculatedColumnFormula>IF(B30="требуется","не требуется","")</calculatedColumnFormula>
    </tableColumn>
    <tableColumn id="2" name="Столбец2" dataDxfId="7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outlinePr summaryBelow="0" summaryRight="0"/>
    <pageSetUpPr fitToPage="1"/>
  </sheetPr>
  <dimension ref="A1:L44"/>
  <sheetViews>
    <sheetView tabSelected="1" zoomScaleNormal="100" workbookViewId="0">
      <selection activeCell="O13" sqref="O13"/>
    </sheetView>
  </sheetViews>
  <sheetFormatPr defaultRowHeight="15.75" x14ac:dyDescent="0.25"/>
  <cols>
    <col min="1" max="1" width="1.5703125" style="1" customWidth="1"/>
    <col min="2" max="2" width="3.28515625" style="1" customWidth="1"/>
    <col min="3" max="3" width="12.7109375" style="1" customWidth="1"/>
    <col min="4" max="4" width="4.42578125" style="1" customWidth="1"/>
    <col min="5" max="5" width="10.140625" style="1" customWidth="1"/>
    <col min="6" max="6" width="4.42578125" style="1" customWidth="1"/>
    <col min="7" max="7" width="17.5703125" style="1" customWidth="1"/>
    <col min="8" max="8" width="43.28515625" style="1" customWidth="1"/>
    <col min="9" max="9" width="1.5703125" style="1" customWidth="1"/>
    <col min="10" max="10" width="24.85546875" style="1" customWidth="1"/>
    <col min="11" max="11" width="0.7109375" style="1" customWidth="1"/>
    <col min="12" max="12" width="4.140625" style="41" customWidth="1"/>
    <col min="13" max="15" width="12.140625" style="1" customWidth="1"/>
    <col min="16" max="16384" width="9.140625" style="1"/>
  </cols>
  <sheetData>
    <row r="1" spans="1:11" ht="17.25" customHeight="1" x14ac:dyDescent="0.25">
      <c r="A1" s="102"/>
      <c r="B1" s="102"/>
      <c r="C1" s="102"/>
      <c r="D1" s="102"/>
      <c r="E1" s="102"/>
      <c r="F1" s="102"/>
      <c r="G1" s="102"/>
      <c r="H1" s="102"/>
      <c r="I1" s="102"/>
      <c r="J1" s="79" t="s">
        <v>77</v>
      </c>
      <c r="K1" s="35"/>
    </row>
    <row r="2" spans="1:11" ht="36" customHeight="1" x14ac:dyDescent="0.25">
      <c r="A2" s="35"/>
      <c r="B2" s="35"/>
      <c r="C2" s="40" t="s">
        <v>70</v>
      </c>
      <c r="D2" s="40"/>
      <c r="E2" s="40"/>
      <c r="F2" s="40"/>
      <c r="G2" s="40"/>
      <c r="H2" s="35"/>
      <c r="I2" s="35"/>
      <c r="J2" s="36" t="s">
        <v>7</v>
      </c>
      <c r="K2" s="35"/>
    </row>
    <row r="3" spans="1:11" ht="24.95" customHeight="1" x14ac:dyDescent="0.25">
      <c r="A3" s="35"/>
      <c r="B3" s="69" t="s">
        <v>19</v>
      </c>
      <c r="C3" s="70"/>
      <c r="D3" s="70"/>
      <c r="E3" s="70"/>
      <c r="F3" s="70"/>
      <c r="G3" s="70"/>
      <c r="H3" s="35"/>
      <c r="I3" s="35"/>
      <c r="J3" s="37"/>
      <c r="K3" s="35"/>
    </row>
    <row r="4" spans="1:11" ht="24.95" customHeight="1" x14ac:dyDescent="0.25">
      <c r="A4" s="35"/>
      <c r="B4" s="69"/>
      <c r="C4" s="71" t="s">
        <v>13</v>
      </c>
      <c r="D4" s="71"/>
      <c r="E4" s="71"/>
      <c r="F4" s="71"/>
      <c r="G4" s="71"/>
      <c r="H4" s="35"/>
      <c r="I4" s="35"/>
      <c r="J4" s="37"/>
      <c r="K4" s="35"/>
    </row>
    <row r="5" spans="1:11" ht="3.95" customHeight="1" x14ac:dyDescent="0.25">
      <c r="A5" s="35"/>
      <c r="B5" s="69"/>
      <c r="C5" s="71"/>
      <c r="D5" s="71"/>
      <c r="E5" s="71"/>
      <c r="F5" s="71"/>
      <c r="G5" s="71"/>
      <c r="H5" s="35"/>
      <c r="I5" s="35"/>
      <c r="J5" s="37"/>
      <c r="K5" s="35"/>
    </row>
    <row r="6" spans="1:11" ht="24.95" customHeight="1" x14ac:dyDescent="0.25">
      <c r="A6" s="35"/>
      <c r="B6" s="69"/>
      <c r="C6" s="71" t="s">
        <v>21</v>
      </c>
      <c r="D6" s="71"/>
      <c r="E6" s="71"/>
      <c r="F6" s="71"/>
      <c r="G6" s="71"/>
      <c r="H6" s="35"/>
      <c r="I6" s="35"/>
      <c r="J6" s="37"/>
      <c r="K6" s="35"/>
    </row>
    <row r="7" spans="1:11" ht="3.95" customHeight="1" x14ac:dyDescent="0.25">
      <c r="A7" s="35"/>
      <c r="B7" s="69"/>
      <c r="C7" s="71"/>
      <c r="D7" s="71"/>
      <c r="E7" s="71"/>
      <c r="F7" s="71"/>
      <c r="G7" s="71"/>
      <c r="H7" s="35"/>
      <c r="I7" s="35"/>
      <c r="J7" s="37"/>
      <c r="K7" s="35"/>
    </row>
    <row r="8" spans="1:11" ht="24.95" customHeight="1" x14ac:dyDescent="0.25">
      <c r="A8" s="35"/>
      <c r="B8" s="35" t="s">
        <v>16</v>
      </c>
      <c r="C8" s="35"/>
      <c r="D8" s="35"/>
      <c r="E8" s="35"/>
      <c r="F8" s="35"/>
      <c r="G8" s="35"/>
      <c r="H8" s="35"/>
      <c r="I8" s="35"/>
      <c r="J8" s="36"/>
      <c r="K8" s="35"/>
    </row>
    <row r="9" spans="1:11" ht="3.95" customHeight="1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35"/>
    </row>
    <row r="10" spans="1:11" ht="24.95" customHeight="1" x14ac:dyDescent="0.25">
      <c r="A10" s="35"/>
      <c r="B10" s="35" t="str">
        <f>IF(Лист1!B25&lt;&gt;"от аккумулятора","Блок питания ""Автон"" 220В/24В","")</f>
        <v>Блок питания "Автон" 220В/24В</v>
      </c>
      <c r="C10" s="35"/>
      <c r="D10" s="35"/>
      <c r="E10" s="35"/>
      <c r="F10" s="35"/>
      <c r="G10" s="35"/>
      <c r="H10" s="35"/>
      <c r="I10" s="35"/>
      <c r="J10" s="37"/>
      <c r="K10" s="35"/>
    </row>
    <row r="11" spans="1:11" ht="3.95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7"/>
      <c r="K11" s="35"/>
    </row>
    <row r="12" spans="1:11" ht="24.95" customHeight="1" x14ac:dyDescent="0.25">
      <c r="A12" s="35"/>
      <c r="B12" s="35" t="str">
        <f>IF(Лист1!B25&lt;&gt;"от аккумулятора","Коммутационная коробка","")</f>
        <v>Коммутационная коробка</v>
      </c>
      <c r="C12" s="35"/>
      <c r="D12" s="35"/>
      <c r="E12" s="35"/>
      <c r="F12" s="35"/>
      <c r="G12" s="35"/>
      <c r="H12" s="35"/>
      <c r="I12" s="35"/>
      <c r="J12" s="36"/>
      <c r="K12" s="35"/>
    </row>
    <row r="13" spans="1:11" ht="21.75" customHeight="1" x14ac:dyDescent="0.25">
      <c r="A13" s="35"/>
      <c r="B13" s="72"/>
      <c r="C13" s="96" t="str">
        <f>Лист1!C37</f>
        <v/>
      </c>
      <c r="D13" s="70"/>
      <c r="E13" s="70"/>
      <c r="F13" s="70"/>
      <c r="G13" s="70"/>
      <c r="H13" s="35"/>
      <c r="I13" s="35"/>
      <c r="J13" s="36"/>
      <c r="K13" s="35"/>
    </row>
    <row r="14" spans="1:11" ht="24.95" customHeight="1" x14ac:dyDescent="0.25">
      <c r="A14" s="35"/>
      <c r="B14" s="70" t="str">
        <f>IF(AND(OR(Лист1!B30="требуется",Лист1!B30="не требуется"),Лист1!B35&lt;&gt;"встроенная"),"Разъём для подключения к блоку питания ""Автон""","")</f>
        <v>Разъём для подключения к блоку питания "Автон"</v>
      </c>
      <c r="C14" s="71"/>
      <c r="D14" s="71"/>
      <c r="E14" s="71"/>
      <c r="F14" s="71"/>
      <c r="G14" s="71"/>
      <c r="H14" s="35"/>
      <c r="I14" s="35"/>
      <c r="J14" s="80"/>
      <c r="K14" s="35"/>
    </row>
    <row r="15" spans="1:11" ht="3.95" customHeight="1" thickBot="1" x14ac:dyDescent="0.3">
      <c r="A15" s="35"/>
      <c r="B15" s="70"/>
      <c r="C15" s="71"/>
      <c r="D15" s="71"/>
      <c r="E15" s="71"/>
      <c r="F15" s="71"/>
      <c r="G15" s="71"/>
      <c r="H15" s="35"/>
      <c r="I15" s="35"/>
      <c r="J15" s="91"/>
      <c r="K15" s="35"/>
    </row>
    <row r="16" spans="1:11" ht="24.95" customHeight="1" x14ac:dyDescent="0.25">
      <c r="A16" s="35"/>
      <c r="B16" s="69" t="str">
        <f>IF(AND(NOT(Лист1!B25="от аккумулятора"),NOT(Лист1!B35="встроенная")),"Длина кабеля, м","")</f>
        <v>Длина кабеля, м</v>
      </c>
      <c r="C16" s="70"/>
      <c r="D16" s="70"/>
      <c r="E16" s="70"/>
      <c r="F16" s="70"/>
      <c r="G16" s="70"/>
      <c r="H16" s="35" t="s">
        <v>12</v>
      </c>
      <c r="I16" s="89"/>
      <c r="J16" s="93"/>
      <c r="K16" s="90"/>
    </row>
    <row r="17" spans="1:11" ht="3.95" customHeight="1" x14ac:dyDescent="0.25">
      <c r="A17" s="35"/>
      <c r="B17" s="69"/>
      <c r="C17" s="70"/>
      <c r="D17" s="70"/>
      <c r="E17" s="70"/>
      <c r="F17" s="70"/>
      <c r="G17" s="70"/>
      <c r="H17" s="35"/>
      <c r="I17" s="35"/>
      <c r="J17" s="92"/>
      <c r="K17" s="35"/>
    </row>
    <row r="18" spans="1:11" ht="24.95" customHeight="1" x14ac:dyDescent="0.25">
      <c r="A18" s="35"/>
      <c r="B18" s="69" t="s">
        <v>25</v>
      </c>
      <c r="C18" s="70"/>
      <c r="D18" s="70"/>
      <c r="E18" s="70"/>
      <c r="F18" s="70"/>
      <c r="G18" s="70"/>
      <c r="H18" s="35"/>
      <c r="I18" s="35"/>
      <c r="J18" s="80" t="s">
        <v>12</v>
      </c>
      <c r="K18" s="35"/>
    </row>
    <row r="19" spans="1:11" ht="3.95" customHeight="1" x14ac:dyDescent="0.25">
      <c r="A19" s="35"/>
      <c r="B19" s="69"/>
      <c r="C19" s="70"/>
      <c r="D19" s="70"/>
      <c r="E19" s="70"/>
      <c r="F19" s="70"/>
      <c r="G19" s="70"/>
      <c r="H19" s="35"/>
      <c r="I19" s="35"/>
      <c r="J19" s="80"/>
      <c r="K19" s="35"/>
    </row>
    <row r="20" spans="1:11" ht="24.95" customHeight="1" x14ac:dyDescent="0.25">
      <c r="A20" s="35"/>
      <c r="B20" s="69" t="str">
        <f>IF(AND(OR(Лист1!B30="встроенный",Лист1!B35="встроенная"),OR(Лист1!C53="LoRa",Лист1!C53="NB-IoT")),"Антенна","")</f>
        <v/>
      </c>
      <c r="C20" s="70"/>
      <c r="D20" s="70"/>
      <c r="E20" s="70"/>
      <c r="F20" s="70"/>
      <c r="G20" s="70"/>
      <c r="H20" s="35"/>
      <c r="I20" s="35"/>
      <c r="J20" s="80" t="s">
        <v>68</v>
      </c>
      <c r="K20" s="35"/>
    </row>
    <row r="21" spans="1:11" ht="3.95" customHeight="1" thickBot="1" x14ac:dyDescent="0.3">
      <c r="A21" s="35"/>
      <c r="B21" s="69"/>
      <c r="C21" s="70"/>
      <c r="D21" s="70"/>
      <c r="E21" s="70"/>
      <c r="F21" s="70"/>
      <c r="G21" s="70"/>
      <c r="H21" s="35"/>
      <c r="I21" s="35"/>
      <c r="J21" s="80"/>
      <c r="K21" s="35"/>
    </row>
    <row r="22" spans="1:11" ht="24.95" customHeight="1" x14ac:dyDescent="0.25">
      <c r="A22" s="35"/>
      <c r="B22" s="69" t="s">
        <v>17</v>
      </c>
      <c r="C22" s="70"/>
      <c r="D22" s="70"/>
      <c r="E22" s="70"/>
      <c r="F22" s="70"/>
      <c r="G22" s="70"/>
      <c r="H22" s="35"/>
      <c r="I22" s="35"/>
      <c r="J22" s="94"/>
      <c r="K22" s="35"/>
    </row>
    <row r="23" spans="1:11" ht="3.95" customHeight="1" thickBot="1" x14ac:dyDescent="0.3">
      <c r="A23" s="35"/>
      <c r="B23" s="70"/>
      <c r="C23" s="70"/>
      <c r="D23" s="70"/>
      <c r="E23" s="70"/>
      <c r="F23" s="70"/>
      <c r="G23" s="70"/>
      <c r="H23" s="35"/>
      <c r="I23" s="35"/>
      <c r="J23" s="80"/>
      <c r="K23" s="35"/>
    </row>
    <row r="24" spans="1:11" ht="64.5" customHeight="1" x14ac:dyDescent="0.25">
      <c r="A24" s="35"/>
      <c r="B24" s="73" t="s">
        <v>6</v>
      </c>
      <c r="C24" s="70"/>
      <c r="D24" s="70"/>
      <c r="E24" s="70"/>
      <c r="F24" s="103"/>
      <c r="G24" s="104"/>
      <c r="H24" s="104"/>
      <c r="I24" s="104"/>
      <c r="J24" s="105"/>
      <c r="K24" s="35"/>
    </row>
    <row r="25" spans="1:11" ht="3.95" customHeight="1" thickBot="1" x14ac:dyDescent="0.3">
      <c r="A25" s="35"/>
      <c r="B25" s="70"/>
      <c r="C25" s="70"/>
      <c r="D25" s="70"/>
      <c r="E25" s="70"/>
      <c r="F25" s="70"/>
      <c r="G25" s="70"/>
      <c r="H25" s="35"/>
      <c r="I25" s="35"/>
      <c r="J25" s="81"/>
      <c r="K25" s="35"/>
    </row>
    <row r="26" spans="1:11" ht="24.95" customHeight="1" x14ac:dyDescent="0.25">
      <c r="A26" s="35"/>
      <c r="B26" s="70" t="s">
        <v>5</v>
      </c>
      <c r="C26" s="81"/>
      <c r="D26" s="106"/>
      <c r="E26" s="106"/>
      <c r="F26" s="106"/>
      <c r="G26" s="70"/>
      <c r="H26" s="70" t="s">
        <v>12</v>
      </c>
      <c r="I26" s="82"/>
      <c r="J26" s="81"/>
      <c r="K26" s="35"/>
    </row>
    <row r="27" spans="1:11" x14ac:dyDescent="0.25">
      <c r="A27" s="35"/>
      <c r="B27" s="70"/>
      <c r="C27" s="70"/>
      <c r="D27" s="70"/>
      <c r="E27" s="70"/>
      <c r="F27" s="70"/>
      <c r="G27" s="70"/>
      <c r="H27" s="37"/>
      <c r="I27" s="35"/>
      <c r="J27" s="81"/>
      <c r="K27" s="35"/>
    </row>
    <row r="28" spans="1:11" ht="24.95" customHeight="1" thickBot="1" x14ac:dyDescent="0.3">
      <c r="A28" s="35"/>
      <c r="B28" s="70" t="s">
        <v>0</v>
      </c>
      <c r="C28" s="70"/>
      <c r="D28" s="70"/>
      <c r="E28" s="70"/>
      <c r="F28" s="70"/>
      <c r="G28" s="70"/>
      <c r="H28" s="37"/>
      <c r="I28" s="35"/>
      <c r="J28" s="81"/>
      <c r="K28" s="35"/>
    </row>
    <row r="29" spans="1:11" ht="24.95" customHeight="1" x14ac:dyDescent="0.25">
      <c r="A29" s="35"/>
      <c r="B29" s="70"/>
      <c r="C29" s="70" t="s">
        <v>1</v>
      </c>
      <c r="D29" s="70"/>
      <c r="E29" s="70"/>
      <c r="F29" s="106"/>
      <c r="G29" s="106"/>
      <c r="H29" s="106"/>
      <c r="I29" s="106"/>
      <c r="J29" s="106"/>
      <c r="K29" s="35"/>
    </row>
    <row r="30" spans="1:11" ht="3.95" customHeight="1" thickBot="1" x14ac:dyDescent="0.3">
      <c r="A30" s="35"/>
      <c r="B30" s="70"/>
      <c r="C30" s="70"/>
      <c r="D30" s="70"/>
      <c r="E30" s="70"/>
      <c r="F30" s="70"/>
      <c r="G30" s="70"/>
      <c r="H30" s="83"/>
      <c r="I30" s="84"/>
      <c r="J30" s="81"/>
      <c r="K30" s="35"/>
    </row>
    <row r="31" spans="1:11" ht="24.95" customHeight="1" x14ac:dyDescent="0.25">
      <c r="A31" s="35"/>
      <c r="B31" s="70"/>
      <c r="C31" s="70" t="s">
        <v>2</v>
      </c>
      <c r="D31" s="106"/>
      <c r="E31" s="106"/>
      <c r="F31" s="106"/>
      <c r="G31" s="106"/>
      <c r="H31" s="106"/>
      <c r="I31" s="106"/>
      <c r="J31" s="106"/>
      <c r="K31" s="35"/>
    </row>
    <row r="32" spans="1:11" ht="3.95" customHeight="1" thickBot="1" x14ac:dyDescent="0.3">
      <c r="A32" s="35"/>
      <c r="B32" s="70"/>
      <c r="C32" s="70"/>
      <c r="D32" s="70"/>
      <c r="E32" s="70"/>
      <c r="F32" s="70"/>
      <c r="G32" s="70"/>
      <c r="H32" s="83"/>
      <c r="I32" s="84"/>
      <c r="J32" s="81"/>
      <c r="K32" s="35"/>
    </row>
    <row r="33" spans="1:11" ht="24.95" customHeight="1" x14ac:dyDescent="0.25">
      <c r="A33" s="35"/>
      <c r="B33" s="70"/>
      <c r="C33" s="70" t="s">
        <v>3</v>
      </c>
      <c r="D33" s="70"/>
      <c r="E33" s="106"/>
      <c r="F33" s="106"/>
      <c r="G33" s="106"/>
      <c r="H33" s="106"/>
      <c r="I33" s="106"/>
      <c r="J33" s="106"/>
      <c r="K33" s="35"/>
    </row>
    <row r="34" spans="1:11" ht="3.95" customHeight="1" thickBot="1" x14ac:dyDescent="0.3">
      <c r="A34" s="35"/>
      <c r="B34" s="70"/>
      <c r="C34" s="70"/>
      <c r="D34" s="70"/>
      <c r="E34" s="70"/>
      <c r="F34" s="70"/>
      <c r="G34" s="70"/>
      <c r="H34" s="83"/>
      <c r="I34" s="84"/>
      <c r="J34" s="81"/>
      <c r="K34" s="35"/>
    </row>
    <row r="35" spans="1:11" ht="24.95" customHeight="1" x14ac:dyDescent="0.25">
      <c r="A35" s="35"/>
      <c r="B35" s="70"/>
      <c r="C35" s="70" t="s">
        <v>4</v>
      </c>
      <c r="D35" s="70"/>
      <c r="E35" s="106"/>
      <c r="F35" s="106"/>
      <c r="G35" s="106"/>
      <c r="H35" s="106"/>
      <c r="I35" s="106"/>
      <c r="J35" s="106"/>
      <c r="K35" s="35"/>
    </row>
    <row r="36" spans="1:11" ht="9.9499999999999993" customHeight="1" x14ac:dyDescent="0.25">
      <c r="A36" s="38"/>
      <c r="B36" s="74"/>
      <c r="C36" s="74"/>
      <c r="D36" s="74"/>
      <c r="E36" s="74"/>
      <c r="F36" s="74"/>
      <c r="G36" s="74"/>
      <c r="H36" s="42"/>
      <c r="I36" s="43"/>
      <c r="J36" s="35"/>
      <c r="K36" s="35"/>
    </row>
    <row r="37" spans="1:11" s="41" customFormat="1" ht="4.5" customHeight="1" x14ac:dyDescent="0.25">
      <c r="A37" s="39"/>
      <c r="B37" s="75"/>
      <c r="C37" s="75"/>
      <c r="D37" s="75"/>
      <c r="E37" s="75"/>
      <c r="F37" s="75"/>
      <c r="G37" s="75"/>
      <c r="H37" s="39"/>
      <c r="I37" s="39"/>
      <c r="J37" s="44"/>
      <c r="K37" s="35"/>
    </row>
    <row r="38" spans="1:11" ht="14.25" customHeight="1" x14ac:dyDescent="0.25">
      <c r="A38" s="39"/>
      <c r="B38" s="75" t="s">
        <v>8</v>
      </c>
      <c r="C38" s="75"/>
      <c r="D38" s="75"/>
      <c r="E38" s="75"/>
      <c r="F38" s="75"/>
      <c r="G38" s="75"/>
      <c r="H38" s="75"/>
      <c r="I38" s="39"/>
      <c r="J38" s="44"/>
      <c r="K38" s="35"/>
    </row>
    <row r="39" spans="1:11" ht="17.25" customHeight="1" x14ac:dyDescent="0.25">
      <c r="A39" s="39"/>
      <c r="B39" s="75"/>
      <c r="C39" s="101" t="str">
        <f>Лист1!B76</f>
        <v>Шлюз многоканальный "Автон" (RS485+BLE, DIn 2, 1м, LoRa)</v>
      </c>
      <c r="D39" s="101"/>
      <c r="E39" s="101"/>
      <c r="F39" s="101"/>
      <c r="G39" s="101"/>
      <c r="H39" s="101"/>
      <c r="I39" s="39"/>
      <c r="J39" s="44"/>
      <c r="K39" s="35"/>
    </row>
    <row r="40" spans="1:11" ht="17.25" customHeight="1" x14ac:dyDescent="0.25">
      <c r="A40" s="39"/>
      <c r="B40" s="75" t="s">
        <v>18</v>
      </c>
      <c r="C40" s="76"/>
      <c r="D40" s="76"/>
      <c r="E40" s="76"/>
      <c r="F40" s="76"/>
      <c r="G40" s="76"/>
      <c r="H40" s="76"/>
      <c r="I40" s="39"/>
      <c r="J40" s="44"/>
      <c r="K40" s="35"/>
    </row>
    <row r="41" spans="1:11" ht="87" customHeight="1" x14ac:dyDescent="0.25">
      <c r="A41" s="39"/>
      <c r="B41" s="77"/>
      <c r="C41" s="98" t="str">
        <f>Лист1!B77</f>
        <v xml:space="preserve">Поставляется без разъёма, с зачищенными проводами для монтажа в клеммы
</v>
      </c>
      <c r="D41" s="99"/>
      <c r="E41" s="99"/>
      <c r="F41" s="99"/>
      <c r="G41" s="99"/>
      <c r="H41" s="100"/>
      <c r="I41" s="45"/>
      <c r="J41" s="44"/>
      <c r="K41" s="35"/>
    </row>
    <row r="42" spans="1:11" x14ac:dyDescent="0.25">
      <c r="A42" s="39"/>
      <c r="B42" s="75" t="s">
        <v>6</v>
      </c>
      <c r="C42" s="78"/>
      <c r="D42" s="78"/>
      <c r="E42" s="78"/>
      <c r="F42" s="78"/>
      <c r="G42" s="78"/>
      <c r="H42" s="78"/>
      <c r="I42" s="39"/>
      <c r="J42" s="44"/>
      <c r="K42" s="35"/>
    </row>
    <row r="43" spans="1:11" ht="65.25" customHeight="1" x14ac:dyDescent="0.25">
      <c r="A43" s="39"/>
      <c r="B43" s="75"/>
      <c r="C43" s="97" t="str">
        <f>IF(F24="","",F24)</f>
        <v/>
      </c>
      <c r="D43" s="97"/>
      <c r="E43" s="97"/>
      <c r="F43" s="97"/>
      <c r="G43" s="97"/>
      <c r="H43" s="97"/>
      <c r="I43" s="39"/>
      <c r="J43" s="44"/>
      <c r="K43" s="35"/>
    </row>
    <row r="44" spans="1:11" ht="9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44"/>
      <c r="K44" s="88"/>
    </row>
  </sheetData>
  <sheetProtection password="C7C8" sheet="1" objects="1" scenarios="1"/>
  <mergeCells count="10">
    <mergeCell ref="C43:H43"/>
    <mergeCell ref="C41:H41"/>
    <mergeCell ref="C39:H39"/>
    <mergeCell ref="A1:I1"/>
    <mergeCell ref="F24:J24"/>
    <mergeCell ref="D26:F26"/>
    <mergeCell ref="F29:J29"/>
    <mergeCell ref="D31:J31"/>
    <mergeCell ref="E33:J33"/>
    <mergeCell ref="E35:J35"/>
  </mergeCells>
  <pageMargins left="0.55000000000000004" right="0.28999999999999998" top="0.62" bottom="0.27559055118110237" header="0.19685039370078741" footer="0.23622047244094491"/>
  <pageSetup paperSize="9" scale="76" orientation="portrait" r:id="rId1"/>
  <rowBreaks count="1" manualBreakCount="1">
    <brk id="25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1" r:id="rId4" name="Drop Down 103">
              <controlPr defaultSize="0" autoLine="0" autoPict="0">
                <anchor moveWithCells="1">
                  <from>
                    <xdr:col>7</xdr:col>
                    <xdr:colOff>19050</xdr:colOff>
                    <xdr:row>17</xdr:row>
                    <xdr:rowOff>28575</xdr:rowOff>
                  </from>
                  <to>
                    <xdr:col>7</xdr:col>
                    <xdr:colOff>2847975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5" name="Drop Down 106">
              <controlPr defaultSize="0" autoLine="0" autoPict="0">
                <anchor moveWithCells="1">
                  <from>
                    <xdr:col>7</xdr:col>
                    <xdr:colOff>19050</xdr:colOff>
                    <xdr:row>3</xdr:row>
                    <xdr:rowOff>28575</xdr:rowOff>
                  </from>
                  <to>
                    <xdr:col>7</xdr:col>
                    <xdr:colOff>2847975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6" name="Drop Down 108">
              <controlPr defaultSize="0" autoLine="0" autoPict="0">
                <anchor moveWithCells="1">
                  <from>
                    <xdr:col>7</xdr:col>
                    <xdr:colOff>19050</xdr:colOff>
                    <xdr:row>5</xdr:row>
                    <xdr:rowOff>28575</xdr:rowOff>
                  </from>
                  <to>
                    <xdr:col>7</xdr:col>
                    <xdr:colOff>2847975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7" name="Drop Down 111">
              <controlPr defaultSize="0" autoLine="0" autoPict="0">
                <anchor moveWithCells="1">
                  <from>
                    <xdr:col>7</xdr:col>
                    <xdr:colOff>19050</xdr:colOff>
                    <xdr:row>7</xdr:row>
                    <xdr:rowOff>19050</xdr:rowOff>
                  </from>
                  <to>
                    <xdr:col>7</xdr:col>
                    <xdr:colOff>2847975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8" name="Drop Down 114">
              <controlPr defaultSize="0" autoLine="0" autoPict="0">
                <anchor moveWithCells="1">
                  <from>
                    <xdr:col>7</xdr:col>
                    <xdr:colOff>19050</xdr:colOff>
                    <xdr:row>15</xdr:row>
                    <xdr:rowOff>28575</xdr:rowOff>
                  </from>
                  <to>
                    <xdr:col>7</xdr:col>
                    <xdr:colOff>2847975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9" name="Drop Down 115">
              <controlPr defaultSize="0" autoLine="0" autoPict="0">
                <anchor moveWithCells="1">
                  <from>
                    <xdr:col>7</xdr:col>
                    <xdr:colOff>19050</xdr:colOff>
                    <xdr:row>9</xdr:row>
                    <xdr:rowOff>19050</xdr:rowOff>
                  </from>
                  <to>
                    <xdr:col>7</xdr:col>
                    <xdr:colOff>2847975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0" name="Drop Down 116">
              <controlPr defaultSize="0" autoLine="0" autoPict="0">
                <anchor moveWithCells="1">
                  <from>
                    <xdr:col>7</xdr:col>
                    <xdr:colOff>19050</xdr:colOff>
                    <xdr:row>21</xdr:row>
                    <xdr:rowOff>19050</xdr:rowOff>
                  </from>
                  <to>
                    <xdr:col>7</xdr:col>
                    <xdr:colOff>2847975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1" name="Drop Down 119">
              <controlPr defaultSize="0" autoLine="0" autoPict="0">
                <anchor moveWithCells="1">
                  <from>
                    <xdr:col>7</xdr:col>
                    <xdr:colOff>19050</xdr:colOff>
                    <xdr:row>13</xdr:row>
                    <xdr:rowOff>28575</xdr:rowOff>
                  </from>
                  <to>
                    <xdr:col>7</xdr:col>
                    <xdr:colOff>2847975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2" name="Drop Down 120">
              <controlPr defaultSize="0" autoLine="0" autoPict="0">
                <anchor moveWithCells="1">
                  <from>
                    <xdr:col>7</xdr:col>
                    <xdr:colOff>19050</xdr:colOff>
                    <xdr:row>11</xdr:row>
                    <xdr:rowOff>19050</xdr:rowOff>
                  </from>
                  <to>
                    <xdr:col>7</xdr:col>
                    <xdr:colOff>2847975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3" name="Drop Down 121">
              <controlPr defaultSize="0" autoLine="0" autoPict="0">
                <anchor moveWithCells="1">
                  <from>
                    <xdr:col>7</xdr:col>
                    <xdr:colOff>19050</xdr:colOff>
                    <xdr:row>19</xdr:row>
                    <xdr:rowOff>28575</xdr:rowOff>
                  </from>
                  <to>
                    <xdr:col>7</xdr:col>
                    <xdr:colOff>2847975</xdr:colOff>
                    <xdr:row>19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  <pageSetUpPr fitToPage="1"/>
  </sheetPr>
  <dimension ref="A1:O107"/>
  <sheetViews>
    <sheetView topLeftCell="A52" zoomScaleNormal="100" workbookViewId="0">
      <selection activeCell="D73" sqref="D73"/>
    </sheetView>
  </sheetViews>
  <sheetFormatPr defaultRowHeight="15.75" x14ac:dyDescent="0.25"/>
  <cols>
    <col min="1" max="1" width="6.7109375" customWidth="1"/>
    <col min="2" max="2" width="35.5703125" style="9" customWidth="1"/>
    <col min="3" max="3" width="22.7109375" customWidth="1"/>
    <col min="4" max="4" width="24.5703125" style="12" customWidth="1"/>
    <col min="5" max="5" width="44.28515625" style="12" customWidth="1"/>
    <col min="6" max="8" width="19" style="12" customWidth="1"/>
    <col min="9" max="10" width="19" customWidth="1"/>
    <col min="11" max="11" width="22" customWidth="1"/>
    <col min="12" max="14" width="19" customWidth="1"/>
    <col min="15" max="15" width="2.42578125" style="7" customWidth="1"/>
    <col min="16" max="17" width="12.140625" customWidth="1"/>
    <col min="18" max="18" width="19.28515625" customWidth="1"/>
  </cols>
  <sheetData>
    <row r="1" spans="1:15" ht="24" customHeight="1" x14ac:dyDescent="0.2">
      <c r="A1" s="108" t="s">
        <v>10</v>
      </c>
      <c r="B1" s="108"/>
      <c r="C1" s="4" t="s">
        <v>11</v>
      </c>
      <c r="D1" s="4" t="s">
        <v>15</v>
      </c>
    </row>
    <row r="2" spans="1:15" ht="18.75" customHeight="1" x14ac:dyDescent="0.2">
      <c r="A2" s="4"/>
      <c r="B2" s="6"/>
      <c r="C2" s="4"/>
      <c r="E2" s="13"/>
    </row>
    <row r="3" spans="1:15" ht="18.75" customHeight="1" x14ac:dyDescent="0.25">
      <c r="A3" s="4"/>
      <c r="B3" s="34" t="s">
        <v>19</v>
      </c>
      <c r="C3" s="4"/>
      <c r="E3" s="13"/>
    </row>
    <row r="4" spans="1:15" ht="18.75" customHeight="1" x14ac:dyDescent="0.25">
      <c r="A4" s="4"/>
      <c r="B4" s="34" t="s">
        <v>14</v>
      </c>
      <c r="C4" s="4"/>
      <c r="E4" s="13"/>
    </row>
    <row r="5" spans="1:15" ht="18.75" customHeight="1" x14ac:dyDescent="0.2">
      <c r="A5" s="21">
        <v>1</v>
      </c>
      <c r="B5" s="49" t="str">
        <f>INDEX(D5,A5,1)</f>
        <v>есть</v>
      </c>
      <c r="C5" s="21"/>
      <c r="D5" s="20" t="s">
        <v>27</v>
      </c>
      <c r="E5" s="13"/>
    </row>
    <row r="6" spans="1:15" ht="18.75" customHeight="1" x14ac:dyDescent="0.2">
      <c r="A6" s="4"/>
      <c r="B6" s="6"/>
      <c r="C6" s="23"/>
      <c r="D6" s="22"/>
      <c r="E6" s="13"/>
    </row>
    <row r="7" spans="1:15" ht="18.75" customHeight="1" x14ac:dyDescent="0.25">
      <c r="A7" s="4"/>
      <c r="B7" s="34" t="s">
        <v>13</v>
      </c>
      <c r="C7" s="23"/>
      <c r="D7" s="22"/>
      <c r="E7" s="13"/>
    </row>
    <row r="8" spans="1:15" ht="18.75" customHeight="1" x14ac:dyDescent="0.2">
      <c r="A8" s="21">
        <v>1</v>
      </c>
      <c r="B8" s="49" t="str">
        <f>INDEX(Таблица4[Столбец1],A8,1)</f>
        <v>есть</v>
      </c>
      <c r="C8" s="21" t="str">
        <f>VLOOKUP(B8,Таблица4[#All],2,)</f>
        <v xml:space="preserve">RS485+BLE, </v>
      </c>
      <c r="D8" s="22" t="s">
        <v>23</v>
      </c>
      <c r="E8" s="13" t="s">
        <v>24</v>
      </c>
      <c r="I8" s="12"/>
      <c r="J8" s="12"/>
      <c r="K8" s="12"/>
    </row>
    <row r="9" spans="1:15" ht="18.75" customHeight="1" x14ac:dyDescent="0.2">
      <c r="A9" s="4"/>
      <c r="B9" s="6"/>
      <c r="C9" s="23"/>
      <c r="D9" s="22" t="s">
        <v>27</v>
      </c>
      <c r="E9" s="13" t="s">
        <v>79</v>
      </c>
      <c r="I9" s="12"/>
      <c r="J9" s="12"/>
      <c r="K9" s="12"/>
    </row>
    <row r="10" spans="1:15" ht="18.75" customHeight="1" x14ac:dyDescent="0.2">
      <c r="A10" s="4"/>
      <c r="B10" s="6"/>
      <c r="C10" s="23"/>
      <c r="D10" s="22"/>
      <c r="E10" s="13" t="s">
        <v>12</v>
      </c>
      <c r="I10" s="12"/>
      <c r="J10" s="12"/>
      <c r="K10" s="12"/>
    </row>
    <row r="11" spans="1:15" ht="18.75" customHeight="1" x14ac:dyDescent="0.2">
      <c r="A11" s="4"/>
      <c r="B11" s="6"/>
      <c r="C11" s="23"/>
      <c r="D11" s="22"/>
      <c r="E11" s="13"/>
    </row>
    <row r="12" spans="1:15" ht="18.75" customHeight="1" x14ac:dyDescent="0.25">
      <c r="A12" s="4"/>
      <c r="B12" s="34" t="s">
        <v>21</v>
      </c>
      <c r="C12" s="23"/>
      <c r="D12" s="22"/>
      <c r="E12" s="13"/>
    </row>
    <row r="13" spans="1:15" ht="18.75" customHeight="1" x14ac:dyDescent="0.25">
      <c r="A13" s="7">
        <v>2</v>
      </c>
      <c r="B13" s="48" t="str">
        <f>INDEX(Таблица3[Столбец1],A13,1)</f>
        <v>2 цифровых входа</v>
      </c>
      <c r="C13" s="25" t="str">
        <f>VLOOKUP(B13,Таблица3[#All],2,)</f>
        <v xml:space="preserve">DIn 2, </v>
      </c>
      <c r="D13" s="12" t="s">
        <v>23</v>
      </c>
      <c r="E13" s="12" t="s">
        <v>24</v>
      </c>
      <c r="I13" s="12"/>
      <c r="J13" s="12"/>
      <c r="K13" s="12"/>
    </row>
    <row r="14" spans="1:15" ht="18.75" customHeight="1" x14ac:dyDescent="0.25">
      <c r="C14" s="9"/>
      <c r="D14" s="19" t="s">
        <v>43</v>
      </c>
      <c r="E14" s="55" t="s">
        <v>28</v>
      </c>
      <c r="I14" s="12"/>
      <c r="J14" s="12"/>
      <c r="K14" s="12"/>
      <c r="L14" s="14" t="s">
        <v>12</v>
      </c>
      <c r="M14" s="14"/>
      <c r="N14" s="14"/>
      <c r="O14" s="17"/>
    </row>
    <row r="15" spans="1:15" ht="18.75" customHeight="1" x14ac:dyDescent="0.25">
      <c r="C15" s="9"/>
      <c r="D15" s="19" t="s">
        <v>44</v>
      </c>
      <c r="E15" s="55" t="s">
        <v>33</v>
      </c>
      <c r="I15" s="12"/>
      <c r="J15" s="12"/>
      <c r="K15" s="12"/>
      <c r="L15" s="14" t="s">
        <v>12</v>
      </c>
      <c r="M15" s="14"/>
      <c r="N15" s="14"/>
      <c r="O15" s="17"/>
    </row>
    <row r="16" spans="1:15" ht="18.75" customHeight="1" x14ac:dyDescent="0.25">
      <c r="C16" s="9"/>
      <c r="D16" s="19" t="s">
        <v>45</v>
      </c>
      <c r="E16" s="55" t="s">
        <v>29</v>
      </c>
      <c r="I16" s="12"/>
      <c r="J16" s="12"/>
      <c r="K16" s="12"/>
      <c r="L16" s="14" t="s">
        <v>12</v>
      </c>
      <c r="M16" s="14"/>
      <c r="N16" s="14"/>
      <c r="O16" s="17"/>
    </row>
    <row r="17" spans="1:15" ht="18.75" customHeight="1" x14ac:dyDescent="0.25">
      <c r="C17" s="9"/>
      <c r="D17" s="19" t="s">
        <v>46</v>
      </c>
      <c r="E17" s="55" t="s">
        <v>80</v>
      </c>
      <c r="I17" s="12"/>
      <c r="J17" s="12"/>
      <c r="K17" s="12"/>
      <c r="L17" s="14" t="s">
        <v>12</v>
      </c>
      <c r="M17" s="14"/>
      <c r="N17" s="14"/>
      <c r="O17" s="17"/>
    </row>
    <row r="18" spans="1:15" ht="18.75" customHeight="1" x14ac:dyDescent="0.25">
      <c r="C18" s="9"/>
      <c r="D18" s="19" t="s">
        <v>47</v>
      </c>
      <c r="E18" s="55" t="s">
        <v>81</v>
      </c>
      <c r="I18" s="12"/>
      <c r="J18" s="12"/>
      <c r="K18" s="12"/>
      <c r="L18" s="14" t="s">
        <v>12</v>
      </c>
      <c r="M18" s="14"/>
      <c r="N18" s="14"/>
      <c r="O18" s="17"/>
    </row>
    <row r="19" spans="1:15" ht="18.75" customHeight="1" x14ac:dyDescent="0.25">
      <c r="C19" s="9"/>
      <c r="D19" s="19" t="s">
        <v>48</v>
      </c>
      <c r="E19" s="55" t="s">
        <v>82</v>
      </c>
      <c r="I19" s="12"/>
      <c r="J19" s="12"/>
      <c r="K19" s="12"/>
      <c r="L19" s="14" t="s">
        <v>12</v>
      </c>
      <c r="M19" s="14"/>
      <c r="N19" s="14"/>
      <c r="O19" s="17"/>
    </row>
    <row r="20" spans="1:15" ht="18.75" customHeight="1" x14ac:dyDescent="0.25">
      <c r="C20" s="9"/>
      <c r="D20" s="19" t="s">
        <v>49</v>
      </c>
      <c r="E20" s="55" t="s">
        <v>30</v>
      </c>
      <c r="I20" s="12"/>
      <c r="J20" s="12"/>
      <c r="K20" s="12"/>
      <c r="L20" s="14" t="s">
        <v>12</v>
      </c>
      <c r="M20" s="14"/>
      <c r="N20" s="14"/>
      <c r="O20" s="17"/>
    </row>
    <row r="21" spans="1:15" ht="18.75" customHeight="1" x14ac:dyDescent="0.25">
      <c r="C21" s="9"/>
      <c r="D21" s="19" t="s">
        <v>50</v>
      </c>
      <c r="E21" s="55" t="s">
        <v>31</v>
      </c>
      <c r="I21" s="12"/>
      <c r="J21" s="12"/>
      <c r="K21" s="12"/>
      <c r="L21" s="14" t="s">
        <v>12</v>
      </c>
      <c r="M21" s="14"/>
      <c r="N21" s="14"/>
      <c r="O21" s="17"/>
    </row>
    <row r="22" spans="1:15" ht="18.75" customHeight="1" x14ac:dyDescent="0.25">
      <c r="C22" s="9"/>
      <c r="D22" s="19" t="s">
        <v>51</v>
      </c>
      <c r="E22" s="55" t="s">
        <v>32</v>
      </c>
      <c r="I22" s="12"/>
      <c r="J22" s="12"/>
      <c r="K22" s="12"/>
      <c r="L22" s="14" t="s">
        <v>12</v>
      </c>
      <c r="M22" s="14"/>
      <c r="N22" s="14"/>
      <c r="O22" s="17"/>
    </row>
    <row r="23" spans="1:15" ht="18.75" customHeight="1" x14ac:dyDescent="0.25">
      <c r="C23" s="9"/>
      <c r="D23" s="19"/>
      <c r="E23" s="19"/>
      <c r="F23" s="26"/>
      <c r="G23" s="26"/>
      <c r="H23" s="27"/>
      <c r="I23" s="28"/>
      <c r="J23" s="28"/>
      <c r="K23" s="29"/>
      <c r="L23" s="14"/>
      <c r="M23" s="14"/>
      <c r="N23" s="14"/>
      <c r="O23" s="17"/>
    </row>
    <row r="24" spans="1:15" ht="18.75" customHeight="1" x14ac:dyDescent="0.25">
      <c r="A24" s="4"/>
      <c r="B24" s="34" t="s">
        <v>16</v>
      </c>
      <c r="C24" s="4"/>
    </row>
    <row r="25" spans="1:15" ht="18.75" customHeight="1" x14ac:dyDescent="0.25">
      <c r="A25" s="47">
        <v>1</v>
      </c>
      <c r="B25" s="47" t="str">
        <f>INDEX(D26:D27,A25,1)</f>
        <v>стационарное 24В</v>
      </c>
      <c r="C25" s="18"/>
      <c r="D25" s="12" t="s">
        <v>23</v>
      </c>
    </row>
    <row r="26" spans="1:15" ht="18.75" customHeight="1" x14ac:dyDescent="0.2">
      <c r="A26" s="4"/>
      <c r="B26" s="6"/>
      <c r="C26" s="4"/>
      <c r="D26" s="12" t="s">
        <v>63</v>
      </c>
      <c r="E26" s="13"/>
    </row>
    <row r="27" spans="1:15" ht="18.75" customHeight="1" x14ac:dyDescent="0.2">
      <c r="A27" s="4"/>
      <c r="B27" s="6"/>
      <c r="C27" s="4"/>
      <c r="D27" s="12" t="s">
        <v>64</v>
      </c>
      <c r="E27" s="13"/>
    </row>
    <row r="28" spans="1:15" ht="18.75" customHeight="1" x14ac:dyDescent="0.2">
      <c r="A28" s="4"/>
      <c r="B28" s="6"/>
      <c r="C28" s="4"/>
      <c r="E28" s="13"/>
    </row>
    <row r="29" spans="1:15" ht="18.75" customHeight="1" x14ac:dyDescent="0.25">
      <c r="B29" s="34" t="s">
        <v>22</v>
      </c>
      <c r="C29" s="1"/>
      <c r="D29" s="22"/>
    </row>
    <row r="30" spans="1:15" ht="18.75" customHeight="1" x14ac:dyDescent="0.25">
      <c r="A30" s="7">
        <v>2</v>
      </c>
      <c r="B30" s="56" t="str">
        <f>INDEX(D31:D32,A30,1)</f>
        <v>не требуется</v>
      </c>
      <c r="C30" s="25" t="str">
        <f>IF(B30="встроенный"," с блоком питания","")</f>
        <v/>
      </c>
      <c r="D30" s="22" t="s">
        <v>23</v>
      </c>
    </row>
    <row r="31" spans="1:15" ht="18.75" customHeight="1" x14ac:dyDescent="0.25">
      <c r="C31" s="25" t="str">
        <f>IF(B30="требуется","Блок питания ""Автон""","")</f>
        <v/>
      </c>
      <c r="D31" s="31" t="str">
        <f>IF(B25="стационарное 24В","требуется","встроенный")</f>
        <v>требуется</v>
      </c>
    </row>
    <row r="32" spans="1:15" ht="18.75" customHeight="1" x14ac:dyDescent="0.25">
      <c r="C32" s="9"/>
      <c r="D32" s="31" t="str">
        <f>IF(B25="стационарное 24В","не требуется","")</f>
        <v>не требуется</v>
      </c>
    </row>
    <row r="33" spans="1:15" ht="18.75" customHeight="1" x14ac:dyDescent="0.2">
      <c r="A33" s="4"/>
      <c r="B33" s="6"/>
      <c r="C33" s="4"/>
      <c r="E33" s="13"/>
    </row>
    <row r="34" spans="1:15" ht="18.75" customHeight="1" x14ac:dyDescent="0.25">
      <c r="A34" s="4"/>
      <c r="B34" s="34" t="s">
        <v>52</v>
      </c>
      <c r="C34" s="4"/>
      <c r="E34" s="13"/>
    </row>
    <row r="35" spans="1:15" ht="18.75" customHeight="1" x14ac:dyDescent="0.25">
      <c r="A35" s="47">
        <v>4</v>
      </c>
      <c r="B35" s="47" t="str">
        <f>INDEX(Таблица11[Столбец1],A35,1)</f>
        <v>не требуется</v>
      </c>
      <c r="C35" s="25" t="str">
        <f>IF(AND(B35="встроенная",B30="встроенный")," и клеммным отсеком",IF(B35="встроенная"," с клеммным отсеком",""))</f>
        <v/>
      </c>
      <c r="D35" s="12" t="s">
        <v>23</v>
      </c>
      <c r="E35" s="13"/>
    </row>
    <row r="36" spans="1:15" ht="18.75" customHeight="1" x14ac:dyDescent="0.2">
      <c r="A36" s="4"/>
      <c r="B36" s="6"/>
      <c r="C36" s="21" t="str">
        <f>IF(B35="для помещений","Монтажная (распаячная) коробка для помещений",IF(B35="для наружной установки","Монтажная (распаячная) коробка для наружной установки",""))</f>
        <v/>
      </c>
      <c r="D36" s="12" t="s">
        <v>65</v>
      </c>
      <c r="E36" s="30"/>
    </row>
    <row r="37" spans="1:15" ht="18.75" customHeight="1" x14ac:dyDescent="0.2">
      <c r="A37" s="4"/>
      <c r="B37" s="6"/>
      <c r="C37" s="21" t="str">
        <f>IF(AND(NOT(B35="встроенная"),OR(A13=1,A13=4,A13=5,A13=7)),"К аналоговым входам возможно подключение только пассивных датчиков по двухпроводной схеме.","")</f>
        <v/>
      </c>
      <c r="D37" s="12" t="s">
        <v>66</v>
      </c>
      <c r="E37" s="30"/>
    </row>
    <row r="38" spans="1:15" ht="18.75" customHeight="1" x14ac:dyDescent="0.2">
      <c r="A38" s="4"/>
      <c r="B38" s="6"/>
      <c r="C38" s="4"/>
      <c r="D38" s="24" t="s">
        <v>67</v>
      </c>
      <c r="E38" s="30"/>
    </row>
    <row r="39" spans="1:15" ht="18.75" customHeight="1" x14ac:dyDescent="0.2">
      <c r="A39" s="4"/>
      <c r="B39" s="6"/>
      <c r="C39" s="4"/>
      <c r="D39" s="24" t="s">
        <v>9</v>
      </c>
      <c r="E39" s="30"/>
    </row>
    <row r="40" spans="1:15" ht="18.75" customHeight="1" x14ac:dyDescent="0.2">
      <c r="A40" s="4"/>
      <c r="B40" s="6"/>
      <c r="C40" s="4"/>
      <c r="E40" s="13"/>
    </row>
    <row r="41" spans="1:15" ht="18.75" customHeight="1" x14ac:dyDescent="0.2">
      <c r="A41" s="4"/>
      <c r="B41" s="46" t="s">
        <v>42</v>
      </c>
      <c r="C41" s="4"/>
      <c r="E41" s="13"/>
    </row>
    <row r="42" spans="1:15" ht="18.75" customHeight="1" x14ac:dyDescent="0.25">
      <c r="A42" s="7">
        <v>1</v>
      </c>
      <c r="B42" s="48" t="str">
        <f>INDEX(D43:D44,A42,1)</f>
        <v>не требуется</v>
      </c>
      <c r="C42" s="25" t="str">
        <f>VLOOKUP(B42,Таблица92[#All],2,)</f>
        <v>Поставляется без разъёма, с зачищенными проводами для монтажа в клеммы</v>
      </c>
      <c r="D42" s="22" t="s">
        <v>23</v>
      </c>
      <c r="E42" s="12" t="s">
        <v>24</v>
      </c>
      <c r="F42"/>
      <c r="G42"/>
      <c r="H42"/>
    </row>
    <row r="43" spans="1:15" ht="18.75" customHeight="1" x14ac:dyDescent="0.25">
      <c r="D43" s="31" t="str">
        <f>IF(AND(OR(Лист1!B30="требуется",Лист1!B30="не требуется"),Лист1!B35&lt;&gt;"встроенная"),"не требуется","")</f>
        <v>не требуется</v>
      </c>
      <c r="E43" s="53" t="str">
        <f>IF(AND(OR(Лист1!B30="требуется",Лист1!B30="не требуется"),Лист1!B35&lt;&gt;"встроенная"),"Поставляется без разъёма, с зачищенными проводами для монтажа в клеммы","")</f>
        <v>Поставляется без разъёма, с зачищенными проводами для монтажа в клеммы</v>
      </c>
      <c r="F43"/>
      <c r="G43"/>
      <c r="H43"/>
    </row>
    <row r="44" spans="1:15" ht="18.75" customHeight="1" x14ac:dyDescent="0.25">
      <c r="C44" s="9"/>
      <c r="D44" s="31" t="str">
        <f>IF(AND(OR(Лист1!B30="требуется",Лист1!B30="не требуется"),Лист1!B35&lt;&gt;"встроенная"),"требуется","")</f>
        <v>требуется</v>
      </c>
      <c r="E44" s="53" t="str">
        <f>IF(AND(OR(Лист1!B30="требуется",Лист1!B30="не требуется"),Лист1!B35&lt;&gt;"встроенная"),"Комплектуется разъёмом для блока питания","")</f>
        <v>Комплектуется разъёмом для блока питания</v>
      </c>
      <c r="F44"/>
      <c r="G44"/>
      <c r="H44"/>
    </row>
    <row r="45" spans="1:15" ht="18.75" customHeight="1" x14ac:dyDescent="0.2">
      <c r="A45" s="4"/>
      <c r="B45" s="6"/>
      <c r="C45" s="4"/>
      <c r="E45" s="13"/>
    </row>
    <row r="46" spans="1:15" ht="18.75" customHeight="1" x14ac:dyDescent="0.25">
      <c r="B46" s="34" t="s">
        <v>35</v>
      </c>
      <c r="C46" s="9"/>
      <c r="D46" s="19" t="s">
        <v>23</v>
      </c>
      <c r="E46" s="19" t="s">
        <v>26</v>
      </c>
      <c r="F46" s="14"/>
      <c r="G46" s="14"/>
      <c r="H46" s="14"/>
      <c r="I46" s="14"/>
      <c r="J46" s="14"/>
      <c r="K46" s="14"/>
      <c r="L46" s="14"/>
      <c r="M46" s="14"/>
      <c r="N46" s="14"/>
      <c r="O46" s="17"/>
    </row>
    <row r="47" spans="1:15" ht="18.75" customHeight="1" x14ac:dyDescent="0.25">
      <c r="A47" s="7">
        <v>1</v>
      </c>
      <c r="B47" s="48" t="str">
        <f>INDEX(D47:D50,A47,1)</f>
        <v>1</v>
      </c>
      <c r="C47" s="8" t="str">
        <f>VLOOKUP(B47,Таблица5[#All],2,)</f>
        <v xml:space="preserve">1м, </v>
      </c>
      <c r="D47" s="12" t="str">
        <f>IF(NOT(B35="встроенная"),"1","")</f>
        <v>1</v>
      </c>
      <c r="E47" s="12" t="str">
        <f>IF(NOT(B35="встроенная"),"1м, ","")</f>
        <v xml:space="preserve">1м, </v>
      </c>
      <c r="F47"/>
      <c r="G47"/>
      <c r="H47"/>
    </row>
    <row r="48" spans="1:15" ht="18.75" customHeight="1" x14ac:dyDescent="0.25">
      <c r="C48" s="1"/>
      <c r="D48" s="12" t="str">
        <f>IF(NOT(B35="встроенная"),"5","")</f>
        <v>5</v>
      </c>
      <c r="E48" s="12" t="str">
        <f>IF(NOT(B35="встроенная"),"5м, ","")</f>
        <v xml:space="preserve">5м, </v>
      </c>
      <c r="F48"/>
      <c r="G48"/>
      <c r="H48"/>
    </row>
    <row r="49" spans="1:11" ht="18.75" customHeight="1" x14ac:dyDescent="0.25">
      <c r="C49" s="1"/>
      <c r="D49" s="12" t="str">
        <f>IF(NOT(B35="встроенная"),"10","")</f>
        <v>10</v>
      </c>
      <c r="E49" s="12" t="str">
        <f>IF(NOT(B35="встроенная"),"10м, ","")</f>
        <v xml:space="preserve">10м, </v>
      </c>
      <c r="F49"/>
      <c r="G49"/>
      <c r="H49"/>
    </row>
    <row r="50" spans="1:11" ht="18.75" customHeight="1" x14ac:dyDescent="0.25">
      <c r="C50" s="1"/>
      <c r="D50" s="12" t="str">
        <f>IF(NOT(B35="встроенная"),"другая","")</f>
        <v>другая</v>
      </c>
      <c r="E50" s="12" t="str">
        <f>IF(AND(NOT(B25="от аккумулятора"),NOT(B35="встроенная")),'Опросный лист шлюз'!J16&amp;"м, ","")</f>
        <v xml:space="preserve">м, </v>
      </c>
      <c r="F50"/>
      <c r="G50"/>
      <c r="H50"/>
    </row>
    <row r="51" spans="1:11" ht="18.75" customHeight="1" x14ac:dyDescent="0.25">
      <c r="C51" s="1"/>
      <c r="F51" s="22"/>
      <c r="G51" s="22"/>
      <c r="H51" s="27"/>
      <c r="I51" s="28"/>
      <c r="J51" s="28"/>
      <c r="K51" s="30"/>
    </row>
    <row r="52" spans="1:11" ht="18.75" customHeight="1" x14ac:dyDescent="0.25">
      <c r="B52" s="34" t="s">
        <v>25</v>
      </c>
      <c r="C52" s="1"/>
      <c r="F52" s="22"/>
      <c r="G52" s="22"/>
      <c r="H52" s="27"/>
      <c r="I52" s="28"/>
      <c r="J52" s="28"/>
      <c r="K52" s="30"/>
    </row>
    <row r="53" spans="1:11" ht="18.75" customHeight="1" x14ac:dyDescent="0.25">
      <c r="A53" s="7">
        <v>1</v>
      </c>
      <c r="B53" s="47" t="str">
        <f>INDEX(D54:D55,A53,1)</f>
        <v>LoRaWAN + Bluetooth Low Energy</v>
      </c>
      <c r="C53" s="18" t="str">
        <f>VLOOKUP(B53,D53:E55,2,)</f>
        <v>LoRa</v>
      </c>
      <c r="D53" s="12" t="s">
        <v>23</v>
      </c>
      <c r="E53" s="12" t="s">
        <v>24</v>
      </c>
      <c r="F53" s="22"/>
      <c r="G53" s="22"/>
      <c r="H53" s="27"/>
      <c r="I53" s="28"/>
      <c r="J53" s="28"/>
      <c r="K53" s="30"/>
    </row>
    <row r="54" spans="1:11" ht="18.75" customHeight="1" x14ac:dyDescent="0.25">
      <c r="C54" s="1"/>
      <c r="D54" s="12" t="s">
        <v>34</v>
      </c>
      <c r="E54" s="12" t="s">
        <v>20</v>
      </c>
      <c r="F54" s="22"/>
      <c r="G54" s="22"/>
      <c r="H54" s="27"/>
      <c r="I54" s="28"/>
      <c r="J54" s="28"/>
      <c r="K54" s="30"/>
    </row>
    <row r="55" spans="1:11" ht="18.75" customHeight="1" x14ac:dyDescent="0.25">
      <c r="C55" s="1"/>
      <c r="D55" s="12" t="str">
        <f>IF(OR(B35="встроенная",AND(B25="стационарное 24В",B35&lt;&gt;"встроенная",B13="нет")),"NB-IoT + Bluetooth Low Energy","")</f>
        <v/>
      </c>
      <c r="E55" s="12" t="str">
        <f>IF(OR(B35="встроенная",AND(B25="стационарное 24В",B35&lt;&gt;"встроенная",B13="нет")),"NB-IoT","")</f>
        <v/>
      </c>
      <c r="F55" s="22"/>
      <c r="G55" s="22"/>
      <c r="H55" s="27"/>
      <c r="I55" s="28"/>
      <c r="J55" s="28"/>
      <c r="K55" s="30"/>
    </row>
    <row r="56" spans="1:11" ht="18.75" customHeight="1" x14ac:dyDescent="0.25">
      <c r="C56" s="1"/>
      <c r="F56" s="22"/>
      <c r="G56" s="22"/>
      <c r="H56" s="27"/>
      <c r="I56" s="28"/>
      <c r="J56" s="28"/>
      <c r="K56" s="30"/>
    </row>
    <row r="57" spans="1:11" ht="18.75" customHeight="1" x14ac:dyDescent="0.25">
      <c r="B57" s="34" t="s">
        <v>61</v>
      </c>
      <c r="C57" s="1"/>
      <c r="F57" s="22"/>
      <c r="G57" s="22"/>
      <c r="H57" s="27"/>
      <c r="I57" s="28"/>
      <c r="J57" s="28"/>
      <c r="K57" s="30"/>
    </row>
    <row r="58" spans="1:11" ht="18.75" customHeight="1" x14ac:dyDescent="0.25">
      <c r="A58" s="7">
        <v>1</v>
      </c>
      <c r="B58" s="48" t="str">
        <f>INDEX(Таблица8[Столбец1],A58,1)</f>
        <v/>
      </c>
      <c r="C58" s="48" t="str">
        <f>INDEX(Таблица8[Столбец2],A58,1)</f>
        <v/>
      </c>
      <c r="D58" s="12" t="s">
        <v>23</v>
      </c>
      <c r="E58" s="12" t="s">
        <v>24</v>
      </c>
      <c r="F58" s="22"/>
      <c r="G58" s="22"/>
      <c r="H58" s="27"/>
      <c r="I58" s="28"/>
      <c r="J58" s="28"/>
      <c r="K58" s="30"/>
    </row>
    <row r="59" spans="1:11" ht="18.75" customHeight="1" x14ac:dyDescent="0.25">
      <c r="C59" s="1"/>
      <c r="D59" s="12" t="str">
        <f>IF(AND(OR(B30="встроенный",B35="встроенная"),C53="LoRa"),"антенна",IF(AND(OR(B30="встроенный",B35="встроенная"),C53="NB-IoT"),"внешняя антенна",""))</f>
        <v/>
      </c>
      <c r="E59" s="13" t="str">
        <f>IF(AND(OR(B30="встроенный",B35="встроенная"),C53="LoRa"),"Антенна",IF(AND(OR(B30="встроенный",B35="встроенная"),C53="NB-IoT"),"Внешняя антенна",""))</f>
        <v/>
      </c>
      <c r="F59" s="22"/>
      <c r="G59" s="22"/>
      <c r="H59" s="27"/>
      <c r="I59" s="28"/>
      <c r="J59" s="28"/>
      <c r="K59" s="30"/>
    </row>
    <row r="60" spans="1:11" ht="18.75" customHeight="1" x14ac:dyDescent="0.25">
      <c r="C60" s="1"/>
      <c r="F60" s="22"/>
      <c r="G60" s="22"/>
      <c r="H60" s="27"/>
      <c r="I60" s="28"/>
      <c r="J60" s="28"/>
      <c r="K60" s="30"/>
    </row>
    <row r="61" spans="1:11" ht="18.75" customHeight="1" x14ac:dyDescent="0.25">
      <c r="A61" s="57"/>
      <c r="B61" s="58" t="s">
        <v>36</v>
      </c>
      <c r="C61" s="59"/>
      <c r="D61" s="60"/>
      <c r="E61" s="60"/>
      <c r="F61" s="22"/>
      <c r="G61" s="22"/>
      <c r="H61" s="27"/>
      <c r="I61" s="28"/>
      <c r="J61" s="28"/>
      <c r="K61" s="30"/>
    </row>
    <row r="62" spans="1:11" ht="18.75" customHeight="1" x14ac:dyDescent="0.25">
      <c r="A62" s="61">
        <v>1</v>
      </c>
      <c r="B62" s="62" t="str">
        <f>INDEX(Таблица6[],A62,1)</f>
        <v>от -40 до +60 °C (индустриальный температурный диапазон)</v>
      </c>
      <c r="C62" s="63" t="str">
        <f>INDEX(Таблица6[],A62,2)</f>
        <v/>
      </c>
      <c r="D62" s="60" t="s">
        <v>23</v>
      </c>
      <c r="E62" s="60" t="s">
        <v>24</v>
      </c>
      <c r="F62" s="22"/>
      <c r="G62" s="22"/>
      <c r="H62" s="27"/>
      <c r="I62" s="28"/>
      <c r="J62" s="28"/>
      <c r="K62" s="30"/>
    </row>
    <row r="63" spans="1:11" ht="18.75" customHeight="1" x14ac:dyDescent="0.25">
      <c r="A63" s="57"/>
      <c r="B63" s="64"/>
      <c r="C63" s="59"/>
      <c r="D63" s="60" t="s">
        <v>37</v>
      </c>
      <c r="E63" s="65" t="s">
        <v>12</v>
      </c>
      <c r="F63" s="22"/>
      <c r="G63" s="22"/>
      <c r="H63" s="27"/>
      <c r="I63" s="28"/>
      <c r="J63" s="28"/>
      <c r="K63" s="30"/>
    </row>
    <row r="64" spans="1:11" ht="18.75" customHeight="1" x14ac:dyDescent="0.25">
      <c r="A64" s="57"/>
      <c r="B64" s="64"/>
      <c r="C64" s="59"/>
      <c r="D64" s="60" t="s">
        <v>38</v>
      </c>
      <c r="E64" s="60" t="s">
        <v>39</v>
      </c>
      <c r="F64" s="22"/>
      <c r="G64" s="22"/>
      <c r="H64" s="27"/>
      <c r="I64" s="28"/>
      <c r="J64" s="28"/>
      <c r="K64" s="30"/>
    </row>
    <row r="65" spans="1:11" ht="18.75" customHeight="1" x14ac:dyDescent="0.25">
      <c r="A65" s="57"/>
      <c r="B65" s="64"/>
      <c r="C65" s="59"/>
      <c r="D65" s="60" t="s">
        <v>40</v>
      </c>
      <c r="E65" s="60" t="s">
        <v>41</v>
      </c>
      <c r="F65" s="22"/>
      <c r="G65" s="22"/>
      <c r="H65" s="27"/>
      <c r="I65" s="28"/>
      <c r="J65" s="28"/>
      <c r="K65" s="30"/>
    </row>
    <row r="66" spans="1:11" ht="18.75" customHeight="1" x14ac:dyDescent="0.25">
      <c r="C66" s="1"/>
      <c r="F66" s="22"/>
      <c r="G66" s="22"/>
      <c r="H66" s="27"/>
      <c r="I66" s="28"/>
      <c r="J66" s="28"/>
      <c r="K66" s="30"/>
    </row>
    <row r="67" spans="1:11" ht="18.75" customHeight="1" x14ac:dyDescent="0.25">
      <c r="B67" s="34" t="s">
        <v>17</v>
      </c>
      <c r="C67" s="9"/>
      <c r="D67" s="33"/>
      <c r="E67" s="15"/>
      <c r="F67" s="22"/>
      <c r="G67" s="22"/>
      <c r="H67" s="27"/>
      <c r="I67" s="30"/>
      <c r="J67" s="30"/>
      <c r="K67" s="30"/>
    </row>
    <row r="68" spans="1:11" ht="18.75" customHeight="1" x14ac:dyDescent="0.25">
      <c r="A68" s="50">
        <v>1</v>
      </c>
      <c r="B68" s="66" t="str">
        <f>INDEX(D69:D71,A68,1)</f>
        <v>не требуется</v>
      </c>
      <c r="C68" s="25" t="str">
        <f>INDEX(Таблица10[],A68,2)</f>
        <v>не требуется</v>
      </c>
      <c r="D68" s="22" t="s">
        <v>23</v>
      </c>
      <c r="E68" s="12" t="s">
        <v>24</v>
      </c>
      <c r="F68"/>
      <c r="G68"/>
      <c r="H68"/>
    </row>
    <row r="69" spans="1:11" ht="18.75" customHeight="1" x14ac:dyDescent="0.25">
      <c r="C69" s="7" t="str">
        <f>IF(C68="не требуется","",C68)</f>
        <v/>
      </c>
      <c r="D69" s="31" t="str">
        <f>IF(OR(B30="встроенный",B35="встроенная"),"на DIN-рейку","не требуется")</f>
        <v>не требуется</v>
      </c>
      <c r="E69" s="32" t="str">
        <f>IF(OR(B30="встроенный",B35="встроенная"),"Крепление на DIN-рейку","не требуется")</f>
        <v>не требуется</v>
      </c>
      <c r="F69"/>
      <c r="G69"/>
      <c r="H69"/>
    </row>
    <row r="70" spans="1:11" ht="18.75" customHeight="1" x14ac:dyDescent="0.25">
      <c r="A70" s="5"/>
      <c r="B70" s="11"/>
      <c r="C70" s="3"/>
      <c r="D70" s="31" t="str">
        <f>IF(OR(B30="встроенный",B35="встроенная"),"другое","мачта")</f>
        <v>мачта</v>
      </c>
      <c r="E70" s="12" t="str">
        <f>IF(OR(B30="встроенный",B35="встроенная"),"Крепление: "&amp;'Опросный лист шлюз'!J22,"Крепление на мачту")</f>
        <v>Крепление на мачту</v>
      </c>
      <c r="F70"/>
      <c r="G70"/>
      <c r="H70"/>
    </row>
    <row r="71" spans="1:11" ht="18.75" customHeight="1" x14ac:dyDescent="0.25">
      <c r="A71" s="5"/>
      <c r="B71" s="11"/>
      <c r="C71" s="3"/>
      <c r="D71" s="31" t="str">
        <f>IF(OR(B30="встроенный",B35="встроенная"),"","другое")</f>
        <v>другое</v>
      </c>
      <c r="E71" s="54" t="str">
        <f>IF(OR(B30="встроенный",B35="встроенная"),"","Крепление: "&amp;'Опросный лист шлюз'!J22)</f>
        <v xml:space="preserve">Крепление: </v>
      </c>
      <c r="F71"/>
      <c r="G71"/>
      <c r="H71"/>
    </row>
    <row r="72" spans="1:11" ht="18.75" customHeight="1" x14ac:dyDescent="0.25">
      <c r="A72" s="5"/>
      <c r="B72" s="11"/>
      <c r="F72"/>
      <c r="G72"/>
      <c r="H72"/>
    </row>
    <row r="73" spans="1:11" ht="18.75" customHeight="1" x14ac:dyDescent="0.25"/>
    <row r="74" spans="1:11" ht="18.75" customHeight="1" x14ac:dyDescent="0.25">
      <c r="B74" s="16"/>
      <c r="C74" s="1"/>
    </row>
    <row r="75" spans="1:11" ht="18.75" customHeight="1" x14ac:dyDescent="0.25">
      <c r="B75" s="16"/>
      <c r="C75" s="1"/>
    </row>
    <row r="76" spans="1:11" ht="18.75" customHeight="1" x14ac:dyDescent="0.25">
      <c r="B76" s="51" t="str">
        <f>"Шлюз многоканальный"&amp;C25&amp;C30&amp;C35&amp;" ""Автон"" "&amp;"("&amp;C8&amp;C13&amp;C47&amp;C53&amp;")"</f>
        <v>Шлюз многоканальный "Автон" (RS485+BLE, DIn 2, 1м, LoRa)</v>
      </c>
      <c r="C76" s="52"/>
    </row>
    <row r="77" spans="1:11" ht="122.25" customHeight="1" x14ac:dyDescent="0.2">
      <c r="B77" s="109" t="str">
        <f>C31&amp;
IF(C31="","",CHAR(10))
&amp;C36&amp;
IF(C36="","",CHAR(10))
&amp;C42&amp;
IF(C42="","",CHAR(10))
&amp;C58&amp;
IF(C58="","",CHAR(10))
&amp;C69</f>
        <v xml:space="preserve">Поставляется без разъёма, с зачищенными проводами для монтажа в клеммы
</v>
      </c>
      <c r="C77" s="109"/>
    </row>
    <row r="78" spans="1:11" ht="24.95" customHeight="1" x14ac:dyDescent="0.25">
      <c r="C78" s="1"/>
    </row>
    <row r="79" spans="1:11" ht="19.5" customHeight="1" x14ac:dyDescent="0.25">
      <c r="C79" s="1"/>
    </row>
    <row r="80" spans="1:11" ht="19.5" customHeight="1" x14ac:dyDescent="0.25">
      <c r="B80" s="85" t="s">
        <v>59</v>
      </c>
    </row>
    <row r="81" spans="2:5" ht="29.25" customHeight="1" x14ac:dyDescent="0.2">
      <c r="B81" s="86">
        <v>45457</v>
      </c>
      <c r="C81" s="110" t="s">
        <v>60</v>
      </c>
      <c r="D81" s="110"/>
      <c r="E81" s="110"/>
    </row>
    <row r="82" spans="2:5" ht="17.25" customHeight="1" x14ac:dyDescent="0.25">
      <c r="B82" s="87">
        <v>45482</v>
      </c>
      <c r="C82" t="s">
        <v>62</v>
      </c>
    </row>
    <row r="83" spans="2:5" ht="54" customHeight="1" x14ac:dyDescent="0.2">
      <c r="B83" s="86">
        <v>45520</v>
      </c>
      <c r="C83" s="107" t="s">
        <v>69</v>
      </c>
      <c r="D83" s="107"/>
      <c r="E83" s="107"/>
    </row>
    <row r="84" spans="2:5" ht="30.75" customHeight="1" x14ac:dyDescent="0.2">
      <c r="B84" s="86">
        <v>45597</v>
      </c>
      <c r="C84" s="107" t="s">
        <v>71</v>
      </c>
      <c r="D84" s="107"/>
      <c r="E84" s="107"/>
    </row>
    <row r="85" spans="2:5" ht="15" customHeight="1" x14ac:dyDescent="0.2">
      <c r="B85" s="86">
        <v>45638</v>
      </c>
      <c r="C85" s="107" t="s">
        <v>72</v>
      </c>
      <c r="D85" s="107"/>
      <c r="E85" s="107"/>
    </row>
    <row r="86" spans="2:5" ht="39" customHeight="1" x14ac:dyDescent="0.2">
      <c r="B86" s="86">
        <v>45719</v>
      </c>
      <c r="C86" s="107" t="s">
        <v>75</v>
      </c>
      <c r="D86" s="107"/>
      <c r="E86" s="107"/>
    </row>
    <row r="87" spans="2:5" x14ac:dyDescent="0.2">
      <c r="B87" s="86">
        <v>45777</v>
      </c>
      <c r="C87" s="107" t="s">
        <v>76</v>
      </c>
      <c r="D87" s="107"/>
      <c r="E87" s="107"/>
    </row>
    <row r="88" spans="2:5" x14ac:dyDescent="0.25">
      <c r="B88" s="87">
        <v>45834</v>
      </c>
      <c r="C88" t="s">
        <v>78</v>
      </c>
    </row>
    <row r="107" spans="1:2" ht="17.25" x14ac:dyDescent="0.3">
      <c r="A107" s="2"/>
      <c r="B107" s="10"/>
    </row>
  </sheetData>
  <mergeCells count="8">
    <mergeCell ref="C87:E87"/>
    <mergeCell ref="C86:E86"/>
    <mergeCell ref="C85:E85"/>
    <mergeCell ref="A1:B1"/>
    <mergeCell ref="B77:C77"/>
    <mergeCell ref="C81:E81"/>
    <mergeCell ref="C83:E83"/>
    <mergeCell ref="C84:E84"/>
  </mergeCells>
  <pageMargins left="0.6692913385826772" right="0.15748031496062992" top="0.35433070866141736" bottom="0.27559055118110237" header="0.19685039370078741" footer="0.23622047244094491"/>
  <pageSetup paperSize="9" scale="85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16"/>
  <sheetViews>
    <sheetView workbookViewId="0">
      <selection activeCell="B23" sqref="B23"/>
    </sheetView>
  </sheetViews>
  <sheetFormatPr defaultRowHeight="12.75" x14ac:dyDescent="0.2"/>
  <cols>
    <col min="1" max="1" width="4.140625" customWidth="1"/>
    <col min="2" max="2" width="68.28515625" customWidth="1"/>
  </cols>
  <sheetData>
    <row r="1" spans="1:2" ht="18" x14ac:dyDescent="0.2">
      <c r="A1" s="67" t="s">
        <v>53</v>
      </c>
    </row>
    <row r="2" spans="1:2" ht="18" x14ac:dyDescent="0.2">
      <c r="A2" s="67"/>
    </row>
    <row r="3" spans="1:2" ht="16.5" customHeight="1" x14ac:dyDescent="0.2">
      <c r="B3" s="68" t="s">
        <v>54</v>
      </c>
    </row>
    <row r="5" spans="1:2" x14ac:dyDescent="0.2">
      <c r="B5" t="s">
        <v>55</v>
      </c>
    </row>
    <row r="6" spans="1:2" ht="161.25" customHeight="1" x14ac:dyDescent="0.2"/>
    <row r="7" spans="1:2" x14ac:dyDescent="0.2">
      <c r="B7" t="s">
        <v>56</v>
      </c>
    </row>
    <row r="8" spans="1:2" ht="161.25" customHeight="1" x14ac:dyDescent="0.2"/>
    <row r="9" spans="1:2" x14ac:dyDescent="0.2">
      <c r="B9" t="s">
        <v>57</v>
      </c>
    </row>
    <row r="10" spans="1:2" ht="161.25" customHeight="1" x14ac:dyDescent="0.2"/>
    <row r="11" spans="1:2" x14ac:dyDescent="0.2">
      <c r="B11" t="s">
        <v>58</v>
      </c>
    </row>
    <row r="12" spans="1:2" ht="161.25" customHeight="1" x14ac:dyDescent="0.2"/>
    <row r="14" spans="1:2" ht="17.25" customHeight="1" x14ac:dyDescent="0.2">
      <c r="B14" s="68" t="s">
        <v>74</v>
      </c>
    </row>
    <row r="15" spans="1:2" ht="17.25" customHeight="1" x14ac:dyDescent="0.2">
      <c r="B15" s="95" t="s">
        <v>73</v>
      </c>
    </row>
    <row r="16" spans="1:2" ht="270" customHeight="1" x14ac:dyDescent="0.2"/>
  </sheetData>
  <pageMargins left="0.70866141732283472" right="0.44" top="0.42" bottom="0.42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Опросный лист шлюз</vt:lpstr>
      <vt:lpstr>Лист1</vt:lpstr>
      <vt:lpstr>Справка</vt:lpstr>
      <vt:lpstr>'Опросный лист шлюз'!Область_печати</vt:lpstr>
      <vt:lpstr>Справка!Область_печати</vt:lpstr>
    </vt:vector>
  </TitlesOfParts>
  <Company>нефтегаз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Кукина Ольга</cp:lastModifiedBy>
  <cp:lastPrinted>2024-06-11T11:25:03Z</cp:lastPrinted>
  <dcterms:created xsi:type="dcterms:W3CDTF">2008-11-24T06:26:29Z</dcterms:created>
  <dcterms:modified xsi:type="dcterms:W3CDTF">2025-06-26T09:07:02Z</dcterms:modified>
</cp:coreProperties>
</file>